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isdnet.sharepoint.com/sites/CostofSUPlitterinCanada-ECCCproject/Shared Documents/Working files/Report and working files/PUBLISHING/Submission April 30_ECCC/"/>
    </mc:Choice>
  </mc:AlternateContent>
  <xr:revisionPtr revIDLastSave="24529" documentId="8_{2159A142-557B-4972-9B6E-AE0C9F7CC33F}" xr6:coauthVersionLast="47" xr6:coauthVersionMax="47" xr10:uidLastSave="{3FFCA4BB-1F77-47B6-B482-C772FBFA8007}"/>
  <bookViews>
    <workbookView xWindow="-110" yWindow="-110" windowWidth="19420" windowHeight="10300" activeTab="2" xr2:uid="{62FDEC22-4BE6-4EB8-9D78-E62F2D705DD9}"/>
  </bookViews>
  <sheets>
    <sheet name="README" sheetId="1" r:id="rId1"/>
    <sheet name="Units and Governance" sheetId="7" r:id="rId2"/>
    <sheet name="Residential" sheetId="2" r:id="rId3"/>
    <sheet name="Commercial" sheetId="3" r:id="rId4"/>
    <sheet name="Wastewater" sheetId="6" r:id="rId5"/>
    <sheet name="Summary" sheetId="5" r:id="rId6"/>
    <sheet name="SUPPLEMENTARY INFORMATION"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7" i="3" l="1"/>
  <c r="K59" i="3"/>
  <c r="H57" i="3"/>
  <c r="A165" i="5" l="1"/>
  <c r="H111" i="2" l="1"/>
  <c r="H91" i="2"/>
  <c r="A91" i="2"/>
  <c r="H111" i="3"/>
  <c r="A111" i="3"/>
  <c r="H91" i="3"/>
  <c r="A91" i="3"/>
  <c r="A111" i="2"/>
  <c r="A101" i="5"/>
  <c r="A20" i="5"/>
  <c r="H81" i="5"/>
  <c r="A81" i="5"/>
  <c r="H46" i="5"/>
  <c r="A46" i="5"/>
  <c r="H63" i="5"/>
  <c r="A63" i="5"/>
  <c r="J4" i="5" l="1"/>
  <c r="A4" i="5"/>
  <c r="L65" i="3"/>
  <c r="E65" i="3"/>
  <c r="L25" i="3"/>
  <c r="E25" i="3"/>
  <c r="J20" i="5"/>
  <c r="P21" i="5"/>
  <c r="H21" i="5"/>
  <c r="O10" i="6"/>
  <c r="G10" i="6"/>
  <c r="L55" i="2"/>
  <c r="E55" i="2"/>
  <c r="L14" i="2"/>
  <c r="E14" i="2"/>
  <c r="L53" i="3"/>
  <c r="E53" i="3"/>
  <c r="L13" i="3"/>
  <c r="E13" i="3"/>
  <c r="W11" i="5"/>
  <c r="W12" i="5"/>
  <c r="W13" i="5"/>
  <c r="W14" i="5"/>
  <c r="W15" i="5"/>
  <c r="W16" i="5"/>
  <c r="R6" i="5"/>
  <c r="R7" i="5"/>
  <c r="R9" i="5"/>
  <c r="R10" i="5"/>
  <c r="R11" i="5"/>
  <c r="R12" i="5"/>
  <c r="R13" i="5"/>
  <c r="R14" i="5"/>
  <c r="R15" i="5"/>
  <c r="R16" i="5"/>
  <c r="I45" i="6"/>
  <c r="A45" i="6"/>
  <c r="E3" i="5"/>
  <c r="B3" i="5"/>
  <c r="N11" i="5"/>
  <c r="N12" i="5"/>
  <c r="N13" i="5"/>
  <c r="N15" i="5"/>
  <c r="N16" i="5"/>
  <c r="F9" i="5"/>
  <c r="W9" i="5" s="1"/>
  <c r="F10" i="5"/>
  <c r="W10" i="5" s="1"/>
  <c r="F11" i="5"/>
  <c r="F12" i="5"/>
  <c r="F13" i="5"/>
  <c r="F14" i="5"/>
  <c r="F15" i="5"/>
  <c r="F16" i="5"/>
  <c r="H1" i="2"/>
  <c r="A1" i="2"/>
  <c r="E23" i="6"/>
  <c r="M23" i="6"/>
  <c r="C7" i="6"/>
  <c r="K7" i="6"/>
  <c r="D7" i="6"/>
  <c r="L7" i="6"/>
  <c r="M12" i="6"/>
  <c r="M13" i="6"/>
  <c r="M14" i="6"/>
  <c r="M15" i="6"/>
  <c r="M16" i="6"/>
  <c r="M17" i="6"/>
  <c r="M18" i="6"/>
  <c r="M19" i="6"/>
  <c r="M20" i="6"/>
  <c r="M21" i="6"/>
  <c r="M22" i="6"/>
  <c r="E12" i="6"/>
  <c r="E13" i="6"/>
  <c r="E14" i="6"/>
  <c r="E15" i="6"/>
  <c r="E16" i="6"/>
  <c r="E17" i="6"/>
  <c r="E18" i="6"/>
  <c r="E19" i="6"/>
  <c r="E20" i="6"/>
  <c r="E21" i="6"/>
  <c r="E22" i="6"/>
  <c r="J37" i="6"/>
  <c r="B37" i="6"/>
  <c r="J36" i="6"/>
  <c r="B36" i="6"/>
  <c r="N12" i="6"/>
  <c r="N6" i="5" s="1"/>
  <c r="N13" i="6"/>
  <c r="N7" i="5" s="1"/>
  <c r="N14" i="6"/>
  <c r="N8" i="5" s="1"/>
  <c r="N15" i="6"/>
  <c r="N9" i="5" s="1"/>
  <c r="N16" i="6"/>
  <c r="N10" i="5" s="1"/>
  <c r="N17" i="6"/>
  <c r="N18" i="6"/>
  <c r="N19" i="6"/>
  <c r="N20" i="6"/>
  <c r="N14" i="5" s="1"/>
  <c r="N21" i="6"/>
  <c r="N22" i="6"/>
  <c r="F12" i="6"/>
  <c r="F6" i="5" s="1"/>
  <c r="W6" i="5" s="1"/>
  <c r="F13" i="6"/>
  <c r="F7" i="5" s="1"/>
  <c r="W7" i="5" s="1"/>
  <c r="F14" i="6"/>
  <c r="F8" i="5" s="1"/>
  <c r="W8" i="5" s="1"/>
  <c r="F15" i="6"/>
  <c r="F16" i="6"/>
  <c r="F17" i="6"/>
  <c r="F18" i="6"/>
  <c r="F19" i="6"/>
  <c r="F20" i="6"/>
  <c r="F21" i="6"/>
  <c r="F22" i="6"/>
  <c r="I1" i="6"/>
  <c r="A1" i="6"/>
  <c r="A36" i="5"/>
  <c r="A43" i="5"/>
  <c r="A41" i="5"/>
  <c r="A40" i="5"/>
  <c r="C37" i="5"/>
  <c r="B37" i="5"/>
  <c r="A1" i="5"/>
  <c r="A32" i="5"/>
  <c r="A31" i="5"/>
  <c r="A30" i="5"/>
  <c r="A29" i="5"/>
  <c r="A28" i="5"/>
  <c r="A27" i="5"/>
  <c r="A26" i="5"/>
  <c r="A25" i="5"/>
  <c r="A24" i="5"/>
  <c r="A23" i="5"/>
  <c r="A22" i="5"/>
  <c r="A16" i="5"/>
  <c r="A15" i="5"/>
  <c r="A14" i="5"/>
  <c r="A13" i="5"/>
  <c r="A12" i="5"/>
  <c r="A11" i="5"/>
  <c r="A10" i="5"/>
  <c r="A9" i="5"/>
  <c r="A8" i="5"/>
  <c r="R8" i="5" s="1"/>
  <c r="A7" i="5"/>
  <c r="A6" i="5"/>
  <c r="I22" i="6"/>
  <c r="A22" i="6"/>
  <c r="I21" i="6"/>
  <c r="A21" i="6"/>
  <c r="I20" i="6"/>
  <c r="A20" i="6"/>
  <c r="I19" i="6"/>
  <c r="A19" i="6"/>
  <c r="I18" i="6"/>
  <c r="A18" i="6"/>
  <c r="I17" i="6"/>
  <c r="A17" i="6"/>
  <c r="I16" i="6"/>
  <c r="A16" i="6"/>
  <c r="I15" i="6"/>
  <c r="A15" i="6"/>
  <c r="I14" i="6"/>
  <c r="A14" i="6"/>
  <c r="I13" i="6"/>
  <c r="A13" i="6"/>
  <c r="I12" i="6"/>
  <c r="A12" i="6"/>
  <c r="H64" i="3"/>
  <c r="A64" i="3"/>
  <c r="H63" i="3"/>
  <c r="A63" i="3"/>
  <c r="H62" i="3"/>
  <c r="A62" i="3"/>
  <c r="H61" i="3"/>
  <c r="A61" i="3"/>
  <c r="H60" i="3"/>
  <c r="A60" i="3"/>
  <c r="H59" i="3"/>
  <c r="A59" i="3"/>
  <c r="H58" i="3"/>
  <c r="A58" i="3"/>
  <c r="A57" i="3"/>
  <c r="H56" i="3"/>
  <c r="A56" i="3"/>
  <c r="H55" i="3"/>
  <c r="A55" i="3"/>
  <c r="H54" i="3"/>
  <c r="A54" i="3"/>
  <c r="H24" i="3"/>
  <c r="A24" i="3"/>
  <c r="H23" i="3"/>
  <c r="A23" i="3"/>
  <c r="H22" i="3"/>
  <c r="A22" i="3"/>
  <c r="H21" i="3"/>
  <c r="A21" i="3"/>
  <c r="H20" i="3"/>
  <c r="A20" i="3"/>
  <c r="H19" i="3"/>
  <c r="A19" i="3"/>
  <c r="H18" i="3"/>
  <c r="A18" i="3"/>
  <c r="H17" i="3"/>
  <c r="A17" i="3"/>
  <c r="H16" i="3"/>
  <c r="A16" i="3"/>
  <c r="H15" i="3"/>
  <c r="A15" i="3"/>
  <c r="H14" i="3"/>
  <c r="A14" i="3"/>
  <c r="H66" i="2"/>
  <c r="A66" i="2"/>
  <c r="H65" i="2"/>
  <c r="A65" i="2"/>
  <c r="H64" i="2"/>
  <c r="A64" i="2"/>
  <c r="H63" i="2"/>
  <c r="A63" i="2"/>
  <c r="H62" i="2"/>
  <c r="A62" i="2"/>
  <c r="H61" i="2"/>
  <c r="A61" i="2"/>
  <c r="H60" i="2"/>
  <c r="A60" i="2"/>
  <c r="H59" i="2"/>
  <c r="A59" i="2"/>
  <c r="H58" i="2"/>
  <c r="A58" i="2"/>
  <c r="H57" i="2"/>
  <c r="A57" i="2"/>
  <c r="H56" i="2"/>
  <c r="A56" i="2"/>
  <c r="H25" i="2"/>
  <c r="A25" i="2"/>
  <c r="H24" i="2"/>
  <c r="A24" i="2"/>
  <c r="H23" i="2"/>
  <c r="A23" i="2"/>
  <c r="H22" i="2"/>
  <c r="A22" i="2"/>
  <c r="H21" i="2"/>
  <c r="A21" i="2"/>
  <c r="H20" i="2"/>
  <c r="A20" i="2"/>
  <c r="H19" i="2"/>
  <c r="A19" i="2"/>
  <c r="H18" i="2"/>
  <c r="A18" i="2"/>
  <c r="H17" i="2"/>
  <c r="A17" i="2"/>
  <c r="H16" i="2"/>
  <c r="A16" i="2"/>
  <c r="H15" i="2"/>
  <c r="A15" i="2"/>
  <c r="N18" i="5"/>
  <c r="F18" i="5"/>
  <c r="F23" i="6" l="1"/>
  <c r="N23" i="6"/>
  <c r="L37" i="6"/>
  <c r="D37" i="6"/>
  <c r="L32" i="6"/>
  <c r="J32" i="6"/>
  <c r="O12" i="6" s="1"/>
  <c r="D32" i="6"/>
  <c r="B32" i="6"/>
  <c r="L31" i="6"/>
  <c r="E31" i="6"/>
  <c r="D31" i="6"/>
  <c r="L30" i="6"/>
  <c r="D30" i="6"/>
  <c r="L29" i="6"/>
  <c r="D29" i="6"/>
  <c r="L28" i="6"/>
  <c r="D28" i="6"/>
  <c r="L27" i="6"/>
  <c r="D27" i="6"/>
  <c r="M7" i="6"/>
  <c r="E7" i="6"/>
  <c r="G18" i="6" l="1"/>
  <c r="G19" i="6"/>
  <c r="F29" i="5" s="1"/>
  <c r="G20" i="6"/>
  <c r="F30" i="5" s="1"/>
  <c r="G21" i="6"/>
  <c r="G22" i="6"/>
  <c r="F32" i="5" s="1"/>
  <c r="G12" i="6"/>
  <c r="G17" i="6"/>
  <c r="F27" i="5" s="1"/>
  <c r="O13" i="6"/>
  <c r="N23" i="5" s="1"/>
  <c r="O15" i="6"/>
  <c r="N25" i="5" s="1"/>
  <c r="O14" i="6"/>
  <c r="N24" i="5" s="1"/>
  <c r="O17" i="6"/>
  <c r="N27" i="5" s="1"/>
  <c r="O16" i="6"/>
  <c r="N26" i="5" s="1"/>
  <c r="N34" i="5"/>
  <c r="O19" i="6"/>
  <c r="O21" i="6"/>
  <c r="O20" i="6"/>
  <c r="N30" i="5" s="1"/>
  <c r="O22" i="6"/>
  <c r="N32" i="5" s="1"/>
  <c r="O18" i="6"/>
  <c r="G16" i="6"/>
  <c r="F26" i="5" s="1"/>
  <c r="G15" i="6"/>
  <c r="F25" i="5" s="1"/>
  <c r="G14" i="6"/>
  <c r="G13" i="6"/>
  <c r="G23" i="6" s="1"/>
  <c r="F34" i="5"/>
  <c r="F31" i="5"/>
  <c r="F28" i="5"/>
  <c r="M31" i="6"/>
  <c r="M30" i="6"/>
  <c r="M27" i="6"/>
  <c r="M29" i="6"/>
  <c r="M28" i="6"/>
  <c r="E28" i="6"/>
  <c r="E30" i="6"/>
  <c r="E29" i="6"/>
  <c r="E27" i="6"/>
  <c r="N29" i="5"/>
  <c r="N31" i="5"/>
  <c r="N22" i="5"/>
  <c r="N17" i="5"/>
  <c r="F17" i="5"/>
  <c r="I75" i="3"/>
  <c r="B75" i="3"/>
  <c r="I35" i="3"/>
  <c r="B35" i="3"/>
  <c r="B40" i="3" s="1"/>
  <c r="J75" i="3"/>
  <c r="C75" i="3"/>
  <c r="J74" i="3"/>
  <c r="C74" i="3"/>
  <c r="J73" i="3"/>
  <c r="C73" i="3"/>
  <c r="J72" i="3"/>
  <c r="C72" i="3"/>
  <c r="J71" i="3"/>
  <c r="C71" i="3"/>
  <c r="J70" i="3"/>
  <c r="C70" i="3"/>
  <c r="J69" i="3"/>
  <c r="C69" i="3"/>
  <c r="K64" i="3"/>
  <c r="M16" i="5" s="1"/>
  <c r="J64" i="3"/>
  <c r="D64" i="3"/>
  <c r="E16" i="5" s="1"/>
  <c r="V16" i="5" s="1"/>
  <c r="C64" i="3"/>
  <c r="K63" i="3"/>
  <c r="M15" i="5" s="1"/>
  <c r="J63" i="3"/>
  <c r="D63" i="3"/>
  <c r="E15" i="5" s="1"/>
  <c r="V15" i="5" s="1"/>
  <c r="C63" i="3"/>
  <c r="K62" i="3"/>
  <c r="M14" i="5" s="1"/>
  <c r="J62" i="3"/>
  <c r="D62" i="3"/>
  <c r="E14" i="5" s="1"/>
  <c r="V14" i="5" s="1"/>
  <c r="C62" i="3"/>
  <c r="K61" i="3"/>
  <c r="M13" i="5" s="1"/>
  <c r="J61" i="3"/>
  <c r="D61" i="3"/>
  <c r="E13" i="5" s="1"/>
  <c r="V13" i="5" s="1"/>
  <c r="C61" i="3"/>
  <c r="K60" i="3"/>
  <c r="M12" i="5" s="1"/>
  <c r="J60" i="3"/>
  <c r="D60" i="3"/>
  <c r="E12" i="5" s="1"/>
  <c r="V12" i="5" s="1"/>
  <c r="C60" i="3"/>
  <c r="M11" i="5"/>
  <c r="J59" i="3"/>
  <c r="D59" i="3"/>
  <c r="E11" i="5" s="1"/>
  <c r="V11" i="5" s="1"/>
  <c r="C59" i="3"/>
  <c r="K58" i="3"/>
  <c r="M10" i="5" s="1"/>
  <c r="J58" i="3"/>
  <c r="D58" i="3"/>
  <c r="E10" i="5" s="1"/>
  <c r="V10" i="5" s="1"/>
  <c r="C58" i="3"/>
  <c r="K57" i="3"/>
  <c r="M9" i="5" s="1"/>
  <c r="J57" i="3"/>
  <c r="D57" i="3"/>
  <c r="E9" i="5" s="1"/>
  <c r="V9" i="5" s="1"/>
  <c r="C57" i="3"/>
  <c r="K56" i="3"/>
  <c r="M8" i="5" s="1"/>
  <c r="J56" i="3"/>
  <c r="D56" i="3"/>
  <c r="E8" i="5" s="1"/>
  <c r="V8" i="5" s="1"/>
  <c r="C56" i="3"/>
  <c r="K55" i="3"/>
  <c r="M7" i="5" s="1"/>
  <c r="J55" i="3"/>
  <c r="D55" i="3"/>
  <c r="E7" i="5" s="1"/>
  <c r="V7" i="5" s="1"/>
  <c r="C55" i="3"/>
  <c r="K54" i="3"/>
  <c r="M6" i="5" s="1"/>
  <c r="J54" i="3"/>
  <c r="D54" i="3"/>
  <c r="E6" i="5" s="1"/>
  <c r="V6" i="5" s="1"/>
  <c r="C54" i="3"/>
  <c r="J50" i="3"/>
  <c r="C50" i="3"/>
  <c r="K47" i="3"/>
  <c r="J47" i="3"/>
  <c r="D47" i="3"/>
  <c r="C47" i="3"/>
  <c r="J35" i="3"/>
  <c r="C35" i="3"/>
  <c r="J34" i="3"/>
  <c r="C34" i="3"/>
  <c r="J33" i="3"/>
  <c r="C33" i="3"/>
  <c r="J32" i="3"/>
  <c r="C32" i="3"/>
  <c r="J31" i="3"/>
  <c r="C31" i="3"/>
  <c r="J30" i="3"/>
  <c r="C30" i="3"/>
  <c r="J29" i="3"/>
  <c r="C29" i="3"/>
  <c r="K24" i="3"/>
  <c r="L16" i="5" s="1"/>
  <c r="J24" i="3"/>
  <c r="D24" i="3"/>
  <c r="D16" i="5" s="1"/>
  <c r="U16" i="5" s="1"/>
  <c r="C24" i="3"/>
  <c r="K23" i="3"/>
  <c r="L15" i="5" s="1"/>
  <c r="J23" i="3"/>
  <c r="D23" i="3"/>
  <c r="D15" i="5" s="1"/>
  <c r="U15" i="5" s="1"/>
  <c r="C23" i="3"/>
  <c r="K22" i="3"/>
  <c r="L14" i="5" s="1"/>
  <c r="J22" i="3"/>
  <c r="D22" i="3"/>
  <c r="D14" i="5" s="1"/>
  <c r="U14" i="5" s="1"/>
  <c r="C22" i="3"/>
  <c r="K21" i="3"/>
  <c r="L13" i="5" s="1"/>
  <c r="J21" i="3"/>
  <c r="D21" i="3"/>
  <c r="D13" i="5" s="1"/>
  <c r="U13" i="5" s="1"/>
  <c r="C21" i="3"/>
  <c r="K20" i="3"/>
  <c r="L12" i="5" s="1"/>
  <c r="J20" i="3"/>
  <c r="D20" i="3"/>
  <c r="D12" i="5" s="1"/>
  <c r="U12" i="5" s="1"/>
  <c r="C20" i="3"/>
  <c r="K19" i="3"/>
  <c r="L11" i="5" s="1"/>
  <c r="J19" i="3"/>
  <c r="D19" i="3"/>
  <c r="D11" i="5" s="1"/>
  <c r="U11" i="5" s="1"/>
  <c r="C19" i="3"/>
  <c r="K18" i="3"/>
  <c r="L10" i="5" s="1"/>
  <c r="J18" i="3"/>
  <c r="D18" i="3"/>
  <c r="D10" i="5" s="1"/>
  <c r="U10" i="5" s="1"/>
  <c r="C18" i="3"/>
  <c r="K17" i="3"/>
  <c r="L9" i="5" s="1"/>
  <c r="J17" i="3"/>
  <c r="D17" i="3"/>
  <c r="D9" i="5" s="1"/>
  <c r="U9" i="5" s="1"/>
  <c r="C17" i="3"/>
  <c r="K16" i="3"/>
  <c r="L8" i="5" s="1"/>
  <c r="J16" i="3"/>
  <c r="D16" i="3"/>
  <c r="D8" i="5" s="1"/>
  <c r="U8" i="5" s="1"/>
  <c r="C16" i="3"/>
  <c r="K15" i="3"/>
  <c r="L7" i="5" s="1"/>
  <c r="J15" i="3"/>
  <c r="D15" i="3"/>
  <c r="D7" i="5" s="1"/>
  <c r="U7" i="5" s="1"/>
  <c r="C15" i="3"/>
  <c r="K14" i="3"/>
  <c r="L6" i="5" s="1"/>
  <c r="J14" i="3"/>
  <c r="D14" i="3"/>
  <c r="D6" i="5" s="1"/>
  <c r="U6" i="5" s="1"/>
  <c r="C14" i="3"/>
  <c r="J10" i="3"/>
  <c r="C10" i="3"/>
  <c r="K7" i="3"/>
  <c r="J7" i="3"/>
  <c r="D7" i="3"/>
  <c r="C7" i="3"/>
  <c r="I83" i="3"/>
  <c r="I82" i="3"/>
  <c r="B83" i="3"/>
  <c r="B82" i="3"/>
  <c r="J81" i="3"/>
  <c r="C81" i="3"/>
  <c r="J80" i="3"/>
  <c r="C80" i="3"/>
  <c r="J41" i="3"/>
  <c r="C41" i="3"/>
  <c r="J40" i="3"/>
  <c r="C40" i="3"/>
  <c r="J83" i="2"/>
  <c r="J82" i="2"/>
  <c r="C83" i="2"/>
  <c r="C82" i="2"/>
  <c r="J42" i="2"/>
  <c r="J41" i="2"/>
  <c r="C42" i="2"/>
  <c r="C41" i="2"/>
  <c r="J77" i="2"/>
  <c r="I77" i="2"/>
  <c r="C77" i="2"/>
  <c r="B77" i="2"/>
  <c r="D72" i="2" s="1"/>
  <c r="J76" i="2"/>
  <c r="C76" i="2"/>
  <c r="J75" i="2"/>
  <c r="C75" i="2"/>
  <c r="J74" i="2"/>
  <c r="C74" i="2"/>
  <c r="J73" i="2"/>
  <c r="C73" i="2"/>
  <c r="J72" i="2"/>
  <c r="C72" i="2"/>
  <c r="J71" i="2"/>
  <c r="C71" i="2"/>
  <c r="J36" i="2"/>
  <c r="I36" i="2"/>
  <c r="C36" i="2"/>
  <c r="B36" i="2"/>
  <c r="J35" i="2"/>
  <c r="C35" i="2"/>
  <c r="J34" i="2"/>
  <c r="C34" i="2"/>
  <c r="J33" i="2"/>
  <c r="C33" i="2"/>
  <c r="J32" i="2"/>
  <c r="C32" i="2"/>
  <c r="J31" i="2"/>
  <c r="C31" i="2"/>
  <c r="J30" i="2"/>
  <c r="C30" i="2"/>
  <c r="J66" i="2"/>
  <c r="C66" i="2"/>
  <c r="J65" i="2"/>
  <c r="C65" i="2"/>
  <c r="J64" i="2"/>
  <c r="D64" i="2"/>
  <c r="C14" i="5" s="1"/>
  <c r="T14" i="5" s="1"/>
  <c r="C64" i="2"/>
  <c r="K63" i="2"/>
  <c r="K13" i="5" s="1"/>
  <c r="J63" i="2"/>
  <c r="C63" i="2"/>
  <c r="J62" i="2"/>
  <c r="C62" i="2"/>
  <c r="J61" i="2"/>
  <c r="D61" i="2"/>
  <c r="C11" i="5" s="1"/>
  <c r="T11" i="5" s="1"/>
  <c r="C61" i="2"/>
  <c r="K60" i="2"/>
  <c r="K10" i="5" s="1"/>
  <c r="J60" i="2"/>
  <c r="C60" i="2"/>
  <c r="J59" i="2"/>
  <c r="C59" i="2"/>
  <c r="J58" i="2"/>
  <c r="D58" i="2"/>
  <c r="C8" i="5" s="1"/>
  <c r="T8" i="5" s="1"/>
  <c r="C58" i="2"/>
  <c r="K57" i="2"/>
  <c r="K7" i="5" s="1"/>
  <c r="J57" i="2"/>
  <c r="C57" i="2"/>
  <c r="J56" i="2"/>
  <c r="C56" i="2"/>
  <c r="J25" i="2"/>
  <c r="C25" i="2"/>
  <c r="J24" i="2"/>
  <c r="C24" i="2"/>
  <c r="J23" i="2"/>
  <c r="C23" i="2"/>
  <c r="J22" i="2"/>
  <c r="C22" i="2"/>
  <c r="J21" i="2"/>
  <c r="C21" i="2"/>
  <c r="J20" i="2"/>
  <c r="C20" i="2"/>
  <c r="J19" i="2"/>
  <c r="C19" i="2"/>
  <c r="J18" i="2"/>
  <c r="C18" i="2"/>
  <c r="J17" i="2"/>
  <c r="C17" i="2"/>
  <c r="J16" i="2"/>
  <c r="C16" i="2"/>
  <c r="J15" i="2"/>
  <c r="C15" i="2"/>
  <c r="J51" i="2"/>
  <c r="C51" i="2"/>
  <c r="J48" i="2"/>
  <c r="D48" i="2"/>
  <c r="B50" i="2" s="1"/>
  <c r="C48" i="2"/>
  <c r="J10" i="2"/>
  <c r="J7" i="2"/>
  <c r="C10" i="2"/>
  <c r="C7" i="2"/>
  <c r="D40" i="7"/>
  <c r="D39" i="7"/>
  <c r="D38" i="7"/>
  <c r="D37" i="7"/>
  <c r="D66" i="2" s="1"/>
  <c r="C16" i="5" s="1"/>
  <c r="T16" i="5" s="1"/>
  <c r="D36" i="7"/>
  <c r="D25" i="2" s="1"/>
  <c r="B16" i="5" s="1"/>
  <c r="S16" i="5" s="1"/>
  <c r="O23" i="6" l="1"/>
  <c r="F23" i="5"/>
  <c r="K66" i="2"/>
  <c r="K16" i="5" s="1"/>
  <c r="K64" i="2"/>
  <c r="K14" i="5" s="1"/>
  <c r="D65" i="2"/>
  <c r="C15" i="5" s="1"/>
  <c r="T15" i="5" s="1"/>
  <c r="D62" i="2"/>
  <c r="C12" i="5" s="1"/>
  <c r="T12" i="5" s="1"/>
  <c r="K65" i="2"/>
  <c r="K15" i="5" s="1"/>
  <c r="K58" i="2"/>
  <c r="K8" i="5" s="1"/>
  <c r="D56" i="2"/>
  <c r="C6" i="5" s="1"/>
  <c r="T6" i="5" s="1"/>
  <c r="K62" i="2"/>
  <c r="K12" i="5" s="1"/>
  <c r="K48" i="2"/>
  <c r="I50" i="2" s="1"/>
  <c r="I81" i="2" s="1"/>
  <c r="K61" i="2"/>
  <c r="K11" i="5" s="1"/>
  <c r="D59" i="2"/>
  <c r="C9" i="5" s="1"/>
  <c r="T9" i="5" s="1"/>
  <c r="K56" i="2"/>
  <c r="K6" i="5" s="1"/>
  <c r="K17" i="5" s="1"/>
  <c r="K59" i="2"/>
  <c r="K9" i="5" s="1"/>
  <c r="D57" i="2"/>
  <c r="C7" i="5" s="1"/>
  <c r="T7" i="5" s="1"/>
  <c r="D60" i="2"/>
  <c r="C10" i="5" s="1"/>
  <c r="T10" i="5" s="1"/>
  <c r="D63" i="2"/>
  <c r="C13" i="5" s="1"/>
  <c r="T13" i="5" s="1"/>
  <c r="N28" i="5"/>
  <c r="I82" i="2"/>
  <c r="K72" i="2"/>
  <c r="L18" i="2"/>
  <c r="L19" i="2"/>
  <c r="L20" i="2"/>
  <c r="J27" i="5" s="1"/>
  <c r="L21" i="2"/>
  <c r="L22" i="2"/>
  <c r="J29" i="5" s="1"/>
  <c r="L23" i="2"/>
  <c r="L24" i="2"/>
  <c r="J31" i="5" s="1"/>
  <c r="L25" i="2"/>
  <c r="J32" i="5" s="1"/>
  <c r="L15" i="2"/>
  <c r="J22" i="5" s="1"/>
  <c r="L17" i="2"/>
  <c r="J24" i="5" s="1"/>
  <c r="L16" i="2"/>
  <c r="J23" i="5" s="1"/>
  <c r="L20" i="3"/>
  <c r="L28" i="5" s="1"/>
  <c r="L21" i="3"/>
  <c r="L29" i="5" s="1"/>
  <c r="L22" i="3"/>
  <c r="L30" i="5" s="1"/>
  <c r="L23" i="3"/>
  <c r="L31" i="5" s="1"/>
  <c r="L24" i="3"/>
  <c r="L32" i="5" s="1"/>
  <c r="L14" i="3"/>
  <c r="L15" i="3"/>
  <c r="L23" i="5" s="1"/>
  <c r="L16" i="3"/>
  <c r="L24" i="5" s="1"/>
  <c r="L17" i="3"/>
  <c r="L25" i="5" s="1"/>
  <c r="L18" i="3"/>
  <c r="L26" i="5" s="1"/>
  <c r="L19" i="3"/>
  <c r="L27" i="5" s="1"/>
  <c r="I40" i="3"/>
  <c r="L58" i="3"/>
  <c r="M26" i="5" s="1"/>
  <c r="L59" i="3"/>
  <c r="M27" i="5" s="1"/>
  <c r="L62" i="3"/>
  <c r="M30" i="5" s="1"/>
  <c r="L63" i="3"/>
  <c r="L64" i="3"/>
  <c r="M32" i="5" s="1"/>
  <c r="L54" i="3"/>
  <c r="M22" i="5" s="1"/>
  <c r="L56" i="3"/>
  <c r="M25" i="5"/>
  <c r="L60" i="3"/>
  <c r="M28" i="5" s="1"/>
  <c r="L61" i="3"/>
  <c r="M29" i="5" s="1"/>
  <c r="L55" i="3"/>
  <c r="M23" i="5" s="1"/>
  <c r="I80" i="3"/>
  <c r="K23" i="2"/>
  <c r="J14" i="5" s="1"/>
  <c r="O14" i="5" s="1"/>
  <c r="P14" i="5" s="1"/>
  <c r="K25" i="2"/>
  <c r="J16" i="5" s="1"/>
  <c r="O16" i="5" s="1"/>
  <c r="P16" i="5" s="1"/>
  <c r="K22" i="2"/>
  <c r="J13" i="5" s="1"/>
  <c r="O13" i="5" s="1"/>
  <c r="P13" i="5" s="1"/>
  <c r="D20" i="2"/>
  <c r="B11" i="5" s="1"/>
  <c r="S11" i="5" s="1"/>
  <c r="D7" i="2"/>
  <c r="B9" i="2" s="1"/>
  <c r="B18" i="5" s="1"/>
  <c r="D15" i="2"/>
  <c r="B6" i="5" s="1"/>
  <c r="S6" i="5" s="1"/>
  <c r="D18" i="2"/>
  <c r="B9" i="5" s="1"/>
  <c r="S9" i="5" s="1"/>
  <c r="D21" i="2"/>
  <c r="B12" i="5" s="1"/>
  <c r="S12" i="5" s="1"/>
  <c r="D24" i="2"/>
  <c r="B15" i="5" s="1"/>
  <c r="S15" i="5" s="1"/>
  <c r="D17" i="2"/>
  <c r="B8" i="5" s="1"/>
  <c r="S8" i="5" s="1"/>
  <c r="K19" i="2"/>
  <c r="J10" i="5" s="1"/>
  <c r="O10" i="5" s="1"/>
  <c r="P10" i="5" s="1"/>
  <c r="D23" i="2"/>
  <c r="B14" i="5" s="1"/>
  <c r="S14" i="5" s="1"/>
  <c r="K17" i="2"/>
  <c r="J8" i="5" s="1"/>
  <c r="O8" i="5" s="1"/>
  <c r="P8" i="5" s="1"/>
  <c r="K15" i="2"/>
  <c r="J6" i="5" s="1"/>
  <c r="K18" i="2"/>
  <c r="J9" i="5" s="1"/>
  <c r="O9" i="5" s="1"/>
  <c r="P9" i="5" s="1"/>
  <c r="K21" i="2"/>
  <c r="J12" i="5" s="1"/>
  <c r="O12" i="5" s="1"/>
  <c r="P12" i="5" s="1"/>
  <c r="K24" i="2"/>
  <c r="J15" i="5" s="1"/>
  <c r="O15" i="5" s="1"/>
  <c r="P15" i="5" s="1"/>
  <c r="K20" i="2"/>
  <c r="J11" i="5" s="1"/>
  <c r="K16" i="2"/>
  <c r="J7" i="5" s="1"/>
  <c r="O7" i="5" s="1"/>
  <c r="P7" i="5" s="1"/>
  <c r="K7" i="2"/>
  <c r="I9" i="2" s="1"/>
  <c r="J18" i="5" s="1"/>
  <c r="D16" i="2"/>
  <c r="B7" i="5" s="1"/>
  <c r="S7" i="5" s="1"/>
  <c r="D19" i="2"/>
  <c r="B10" i="5" s="1"/>
  <c r="S10" i="5" s="1"/>
  <c r="D22" i="2"/>
  <c r="B13" i="5" s="1"/>
  <c r="S13" i="5" s="1"/>
  <c r="D70" i="3"/>
  <c r="B80" i="3"/>
  <c r="F22" i="5"/>
  <c r="S53" i="5" s="1"/>
  <c r="K71" i="3"/>
  <c r="I50" i="3"/>
  <c r="D71" i="3"/>
  <c r="B50" i="3"/>
  <c r="K31" i="3"/>
  <c r="I10" i="3"/>
  <c r="K33" i="3"/>
  <c r="D31" i="3"/>
  <c r="B10" i="3"/>
  <c r="B82" i="2"/>
  <c r="B51" i="2"/>
  <c r="C34" i="5" s="1"/>
  <c r="K75" i="2"/>
  <c r="I51" i="2"/>
  <c r="K34" i="5" s="1"/>
  <c r="K71" i="2"/>
  <c r="K34" i="2"/>
  <c r="I10" i="2"/>
  <c r="J34" i="5" s="1"/>
  <c r="D34" i="2"/>
  <c r="B10" i="2"/>
  <c r="B34" i="5" s="1"/>
  <c r="AQ53" i="5"/>
  <c r="Z53" i="5"/>
  <c r="AA53" i="5"/>
  <c r="AS53" i="5"/>
  <c r="Y53" i="5"/>
  <c r="AO53" i="5"/>
  <c r="V53" i="5"/>
  <c r="AI53" i="5"/>
  <c r="AE53" i="5"/>
  <c r="T53" i="5"/>
  <c r="AM53" i="5"/>
  <c r="X53" i="5"/>
  <c r="AU53" i="5"/>
  <c r="AB53" i="5"/>
  <c r="AK53" i="5"/>
  <c r="W53" i="5"/>
  <c r="AW53" i="5"/>
  <c r="AC53" i="5"/>
  <c r="F24" i="5"/>
  <c r="N33" i="5"/>
  <c r="D17" i="5"/>
  <c r="G16" i="5"/>
  <c r="H16" i="5" s="1"/>
  <c r="I49" i="3"/>
  <c r="M24" i="5"/>
  <c r="B81" i="2"/>
  <c r="C18" i="5"/>
  <c r="B9" i="3"/>
  <c r="L17" i="5"/>
  <c r="M17" i="5"/>
  <c r="J25" i="5"/>
  <c r="J26" i="5"/>
  <c r="J28" i="5"/>
  <c r="I42" i="2"/>
  <c r="I9" i="3"/>
  <c r="I39" i="3" s="1"/>
  <c r="B65" i="3"/>
  <c r="K70" i="3"/>
  <c r="D72" i="3"/>
  <c r="D25" i="3"/>
  <c r="D30" i="3"/>
  <c r="K72" i="3"/>
  <c r="D65" i="3"/>
  <c r="E59" i="3" s="1"/>
  <c r="E27" i="5" s="1"/>
  <c r="K30" i="3"/>
  <c r="D73" i="3"/>
  <c r="D32" i="3"/>
  <c r="K73" i="3"/>
  <c r="K65" i="3"/>
  <c r="K32" i="3"/>
  <c r="D33" i="3"/>
  <c r="I65" i="3"/>
  <c r="D34" i="3"/>
  <c r="D74" i="3"/>
  <c r="K34" i="3"/>
  <c r="K74" i="3"/>
  <c r="D29" i="3"/>
  <c r="D69" i="3"/>
  <c r="K29" i="3"/>
  <c r="K69" i="3"/>
  <c r="B49" i="3"/>
  <c r="D73" i="2"/>
  <c r="K73" i="2"/>
  <c r="D74" i="2"/>
  <c r="K30" i="2"/>
  <c r="D75" i="2"/>
  <c r="D31" i="2"/>
  <c r="D76" i="2"/>
  <c r="K31" i="2"/>
  <c r="B41" i="2"/>
  <c r="D32" i="2"/>
  <c r="I41" i="2"/>
  <c r="K32" i="2"/>
  <c r="D71" i="2"/>
  <c r="D35" i="2"/>
  <c r="K35" i="2"/>
  <c r="K76" i="2"/>
  <c r="D33" i="2"/>
  <c r="K33" i="2"/>
  <c r="K74" i="2"/>
  <c r="K25" i="3"/>
  <c r="B25" i="3"/>
  <c r="I25" i="3"/>
  <c r="I83" i="2" l="1"/>
  <c r="B83" i="2"/>
  <c r="I67" i="2"/>
  <c r="K67" i="2" s="1"/>
  <c r="L57" i="2" s="1"/>
  <c r="K23" i="5" s="1"/>
  <c r="O11" i="5"/>
  <c r="P11" i="5" s="1"/>
  <c r="B67" i="2"/>
  <c r="D67" i="2" s="1"/>
  <c r="E66" i="2" s="1"/>
  <c r="C32" i="5" s="1"/>
  <c r="AC50" i="5" s="1"/>
  <c r="C17" i="5"/>
  <c r="K18" i="5"/>
  <c r="G11" i="5"/>
  <c r="H11" i="5" s="1"/>
  <c r="L64" i="2"/>
  <c r="K30" i="5" s="1"/>
  <c r="L65" i="2"/>
  <c r="K31" i="5" s="1"/>
  <c r="L59" i="2"/>
  <c r="K25" i="5" s="1"/>
  <c r="O25" i="5" s="1"/>
  <c r="P25" i="5" s="1"/>
  <c r="L56" i="2"/>
  <c r="K22" i="5" s="1"/>
  <c r="L63" i="2"/>
  <c r="K29" i="5" s="1"/>
  <c r="O29" i="5" s="1"/>
  <c r="P29" i="5" s="1"/>
  <c r="L62" i="2"/>
  <c r="K28" i="5" s="1"/>
  <c r="O28" i="5" s="1"/>
  <c r="P28" i="5" s="1"/>
  <c r="L61" i="2"/>
  <c r="K27" i="5" s="1"/>
  <c r="O27" i="5" s="1"/>
  <c r="P27" i="5" s="1"/>
  <c r="L58" i="2"/>
  <c r="K24" i="5" s="1"/>
  <c r="O24" i="5" s="1"/>
  <c r="P24" i="5" s="1"/>
  <c r="L66" i="2"/>
  <c r="K32" i="5" s="1"/>
  <c r="O32" i="5" s="1"/>
  <c r="P32" i="5" s="1"/>
  <c r="L60" i="2"/>
  <c r="K26" i="5" s="1"/>
  <c r="O26" i="5" s="1"/>
  <c r="P26" i="5" s="1"/>
  <c r="F33" i="5"/>
  <c r="B40" i="2"/>
  <c r="I40" i="2"/>
  <c r="E18" i="5"/>
  <c r="B79" i="3"/>
  <c r="M18" i="5"/>
  <c r="I79" i="3"/>
  <c r="L34" i="5"/>
  <c r="I41" i="3"/>
  <c r="D18" i="5"/>
  <c r="G18" i="5" s="1"/>
  <c r="B39" i="3"/>
  <c r="M34" i="5"/>
  <c r="O34" i="5" s="1"/>
  <c r="I81" i="3"/>
  <c r="G8" i="5"/>
  <c r="H8" i="5" s="1"/>
  <c r="G15" i="5"/>
  <c r="H15" i="5" s="1"/>
  <c r="G9" i="5"/>
  <c r="H9" i="5" s="1"/>
  <c r="B17" i="5"/>
  <c r="G7" i="5"/>
  <c r="H7" i="5" s="1"/>
  <c r="G14" i="5"/>
  <c r="H14" i="5" s="1"/>
  <c r="J17" i="5"/>
  <c r="I26" i="2"/>
  <c r="K26" i="2" s="1"/>
  <c r="B26" i="2"/>
  <c r="D26" i="2" s="1"/>
  <c r="E18" i="2" s="1"/>
  <c r="B25" i="5" s="1"/>
  <c r="AI49" i="5" s="1"/>
  <c r="G10" i="5"/>
  <c r="H10" i="5" s="1"/>
  <c r="G13" i="5"/>
  <c r="H13" i="5" s="1"/>
  <c r="G12" i="5"/>
  <c r="H12" i="5" s="1"/>
  <c r="E63" i="3"/>
  <c r="E31" i="5" s="1"/>
  <c r="AB52" i="5" s="1"/>
  <c r="E57" i="3"/>
  <c r="E25" i="5" s="1"/>
  <c r="AI52" i="5" s="1"/>
  <c r="E62" i="3"/>
  <c r="E30" i="5" s="1"/>
  <c r="AA52" i="5" s="1"/>
  <c r="E64" i="3"/>
  <c r="E32" i="5" s="1"/>
  <c r="AW52" i="5" s="1"/>
  <c r="E58" i="3"/>
  <c r="E26" i="5" s="1"/>
  <c r="W52" i="5" s="1"/>
  <c r="E55" i="3"/>
  <c r="E23" i="5" s="1"/>
  <c r="T52" i="5" s="1"/>
  <c r="E61" i="3"/>
  <c r="E29" i="5" s="1"/>
  <c r="AQ52" i="5" s="1"/>
  <c r="E60" i="3"/>
  <c r="E28" i="5" s="1"/>
  <c r="AO52" i="5" s="1"/>
  <c r="E56" i="3"/>
  <c r="E24" i="5" s="1"/>
  <c r="AG52" i="5" s="1"/>
  <c r="E54" i="3"/>
  <c r="E22" i="5" s="1"/>
  <c r="S52" i="5" s="1"/>
  <c r="E20" i="2"/>
  <c r="B27" i="5" s="1"/>
  <c r="E16" i="2"/>
  <c r="B23" i="5" s="1"/>
  <c r="AE49" i="5" s="1"/>
  <c r="E34" i="5"/>
  <c r="B81" i="3"/>
  <c r="E14" i="3"/>
  <c r="D22" i="5" s="1"/>
  <c r="S51" i="5" s="1"/>
  <c r="E18" i="3"/>
  <c r="D26" i="5" s="1"/>
  <c r="W51" i="5" s="1"/>
  <c r="E20" i="3"/>
  <c r="D28" i="5" s="1"/>
  <c r="AO51" i="5" s="1"/>
  <c r="E22" i="3"/>
  <c r="D30" i="5" s="1"/>
  <c r="AA51" i="5" s="1"/>
  <c r="E24" i="3"/>
  <c r="D32" i="5" s="1"/>
  <c r="AC51" i="5" s="1"/>
  <c r="E15" i="3"/>
  <c r="D23" i="5" s="1"/>
  <c r="T51" i="5" s="1"/>
  <c r="E17" i="3"/>
  <c r="D25" i="5" s="1"/>
  <c r="AI51" i="5" s="1"/>
  <c r="E19" i="3"/>
  <c r="D27" i="5" s="1"/>
  <c r="AM51" i="5" s="1"/>
  <c r="E21" i="3"/>
  <c r="D29" i="5" s="1"/>
  <c r="AQ51" i="5" s="1"/>
  <c r="E23" i="3"/>
  <c r="D31" i="5" s="1"/>
  <c r="AB51" i="5" s="1"/>
  <c r="E16" i="3"/>
  <c r="D24" i="5" s="1"/>
  <c r="AG51" i="5" s="1"/>
  <c r="E60" i="2"/>
  <c r="C26" i="5" s="1"/>
  <c r="W50" i="5" s="1"/>
  <c r="E64" i="2"/>
  <c r="C30" i="5" s="1"/>
  <c r="AS50" i="5" s="1"/>
  <c r="E56" i="2"/>
  <c r="C22" i="5" s="1"/>
  <c r="S50" i="5" s="1"/>
  <c r="E58" i="2"/>
  <c r="C24" i="5" s="1"/>
  <c r="AG50" i="5" s="1"/>
  <c r="E61" i="2"/>
  <c r="C27" i="5" s="1"/>
  <c r="AM50" i="5" s="1"/>
  <c r="E63" i="2"/>
  <c r="C29" i="5" s="1"/>
  <c r="Z50" i="5" s="1"/>
  <c r="E65" i="2"/>
  <c r="C31" i="5" s="1"/>
  <c r="AB50" i="5" s="1"/>
  <c r="E57" i="2"/>
  <c r="C23" i="5" s="1"/>
  <c r="E59" i="2"/>
  <c r="C25" i="5" s="1"/>
  <c r="V50" i="5" s="1"/>
  <c r="E62" i="2"/>
  <c r="C28" i="5" s="1"/>
  <c r="D34" i="5"/>
  <c r="G34" i="5" s="1"/>
  <c r="B41" i="3"/>
  <c r="B42" i="2"/>
  <c r="AG53" i="5"/>
  <c r="U53" i="5"/>
  <c r="AM52" i="5"/>
  <c r="X52" i="5"/>
  <c r="O23" i="5"/>
  <c r="P23" i="5" s="1"/>
  <c r="O6" i="5"/>
  <c r="M31" i="5"/>
  <c r="L18" i="5"/>
  <c r="O18" i="5" s="1"/>
  <c r="P18" i="5" s="1"/>
  <c r="E17" i="5"/>
  <c r="L22" i="5"/>
  <c r="L26" i="2"/>
  <c r="J30" i="5"/>
  <c r="G6" i="5"/>
  <c r="H6" i="5" s="1"/>
  <c r="O30" i="5" l="1"/>
  <c r="P30" i="5" s="1"/>
  <c r="L67" i="2"/>
  <c r="E22" i="2"/>
  <c r="B29" i="5" s="1"/>
  <c r="Z49" i="5" s="1"/>
  <c r="H34" i="5"/>
  <c r="B41" i="5"/>
  <c r="C41" i="5"/>
  <c r="D41" i="5" s="1"/>
  <c r="F41" i="5" s="1"/>
  <c r="P34" i="5"/>
  <c r="AU52" i="5"/>
  <c r="V52" i="5"/>
  <c r="E21" i="2"/>
  <c r="B28" i="5" s="1"/>
  <c r="Y49" i="5" s="1"/>
  <c r="E15" i="2"/>
  <c r="B22" i="5" s="1"/>
  <c r="S49" i="5" s="1"/>
  <c r="E17" i="2"/>
  <c r="B24" i="5" s="1"/>
  <c r="AG49" i="5" s="1"/>
  <c r="V49" i="5"/>
  <c r="E25" i="2"/>
  <c r="B32" i="5" s="1"/>
  <c r="G32" i="5" s="1"/>
  <c r="H32" i="5" s="1"/>
  <c r="E19" i="2"/>
  <c r="B26" i="5" s="1"/>
  <c r="W49" i="5" s="1"/>
  <c r="T49" i="5"/>
  <c r="E24" i="2"/>
  <c r="B31" i="5" s="1"/>
  <c r="AU49" i="5" s="1"/>
  <c r="B39" i="5"/>
  <c r="E39" i="5" s="1"/>
  <c r="H18" i="5"/>
  <c r="O17" i="5"/>
  <c r="P6" i="5"/>
  <c r="E23" i="2"/>
  <c r="B30" i="5" s="1"/>
  <c r="AA49" i="5" s="1"/>
  <c r="Y51" i="5"/>
  <c r="AC52" i="5"/>
  <c r="AE52" i="5"/>
  <c r="AK52" i="5"/>
  <c r="AS52" i="5"/>
  <c r="U52" i="5"/>
  <c r="Y52" i="5"/>
  <c r="Z52" i="5"/>
  <c r="AK50" i="5"/>
  <c r="AQ49" i="5"/>
  <c r="AW51" i="5"/>
  <c r="G23" i="5"/>
  <c r="H23" i="5" s="1"/>
  <c r="AS51" i="5"/>
  <c r="V51" i="5"/>
  <c r="AK51" i="5"/>
  <c r="AU51" i="5"/>
  <c r="X51" i="5"/>
  <c r="AE51" i="5"/>
  <c r="U51" i="5"/>
  <c r="Z51" i="5"/>
  <c r="AQ50" i="5"/>
  <c r="G29" i="5"/>
  <c r="H29" i="5" s="1"/>
  <c r="AA50" i="5"/>
  <c r="U50" i="5"/>
  <c r="G25" i="5"/>
  <c r="H25" i="5" s="1"/>
  <c r="X50" i="5"/>
  <c r="E67" i="2"/>
  <c r="T50" i="5"/>
  <c r="AE50" i="5"/>
  <c r="AO50" i="5"/>
  <c r="AW50" i="5"/>
  <c r="AU50" i="5"/>
  <c r="Y50" i="5"/>
  <c r="AI50" i="5"/>
  <c r="E41" i="5"/>
  <c r="AM49" i="5"/>
  <c r="X49" i="5"/>
  <c r="G27" i="5"/>
  <c r="H27" i="5" s="1"/>
  <c r="E33" i="5"/>
  <c r="C33" i="5"/>
  <c r="J33" i="5"/>
  <c r="L33" i="5"/>
  <c r="O22" i="5"/>
  <c r="P22" i="5" s="1"/>
  <c r="M33" i="5"/>
  <c r="O31" i="5"/>
  <c r="P31" i="5" s="1"/>
  <c r="D33" i="5"/>
  <c r="C39" i="5"/>
  <c r="G17" i="5"/>
  <c r="K33" i="5"/>
  <c r="P17" i="5" l="1"/>
  <c r="C42" i="5"/>
  <c r="H17" i="5"/>
  <c r="B42" i="5"/>
  <c r="G22" i="5"/>
  <c r="H22" i="5" s="1"/>
  <c r="AO49" i="5"/>
  <c r="G24" i="5"/>
  <c r="H24" i="5" s="1"/>
  <c r="AK49" i="5"/>
  <c r="G28" i="5"/>
  <c r="H28" i="5" s="1"/>
  <c r="G26" i="5"/>
  <c r="H26" i="5" s="1"/>
  <c r="D39" i="5"/>
  <c r="F39" i="5" s="1"/>
  <c r="AW49" i="5"/>
  <c r="AC49" i="5"/>
  <c r="G31" i="5"/>
  <c r="H31" i="5" s="1"/>
  <c r="AB49" i="5"/>
  <c r="C38" i="5"/>
  <c r="U49" i="5"/>
  <c r="E26" i="2"/>
  <c r="AS49" i="5"/>
  <c r="B33" i="5"/>
  <c r="G30" i="5"/>
  <c r="H30" i="5" s="1"/>
  <c r="O33" i="5"/>
  <c r="P33" i="5" s="1"/>
  <c r="B38" i="5"/>
  <c r="D42" i="5" l="1"/>
  <c r="F42" i="5" s="1"/>
  <c r="G33" i="5"/>
  <c r="H33" i="5" s="1"/>
  <c r="B43" i="5" s="1"/>
  <c r="E38" i="5"/>
  <c r="D38" i="5"/>
  <c r="F38" i="5" s="1"/>
  <c r="C43" i="5"/>
  <c r="C40" i="5"/>
  <c r="B40" i="5"/>
  <c r="E42" i="5" l="1"/>
  <c r="D40" i="5"/>
  <c r="F40" i="5" s="1"/>
  <c r="D43" i="5"/>
  <c r="F43" i="5" s="1"/>
  <c r="E43" i="5" l="1"/>
  <c r="E40" i="5"/>
</calcChain>
</file>

<file path=xl/sharedStrings.xml><?xml version="1.0" encoding="utf-8"?>
<sst xmlns="http://schemas.openxmlformats.org/spreadsheetml/2006/main" count="1023" uniqueCount="378">
  <si>
    <t>PLASTIC WASTE COST CALCULATOR</t>
  </si>
  <si>
    <t>A Tool for Municipalities and Local Authorities</t>
  </si>
  <si>
    <t>Developed by:</t>
  </si>
  <si>
    <t>International Institute for Sustainable Development (IISD)</t>
  </si>
  <si>
    <t>PURPOSE</t>
  </si>
  <si>
    <t>This tool helps local authorities calculate the cost of managing single-use plastics (SUPs) across multiple waste management streams and visualize the data for reports, brochures, and presentations.</t>
  </si>
  <si>
    <t>WHY THIS MATTERS</t>
  </si>
  <si>
    <t>In many localities, different aspects of waste management are managed by different organizations that each hold their own data. This fragmentation makes it difficult to understand the true cost of plastic waste management.</t>
  </si>
  <si>
    <t>This tool helps aggregate data from multiple actors in waste management to create a more holistic view of plastic waste management and its costs in localities across Canada.</t>
  </si>
  <si>
    <t>Calculating SUP amounts and cost data is a first step in recognizing and mitigating these costs. For optimal use, all organizations and actors involved in waste management should contribute their data to the greatest extent possible.</t>
  </si>
  <si>
    <t>HOW THIS TOOL WAS DEVELOPED</t>
  </si>
  <si>
    <t>This tool was created by the International Institute for Sustainable Development (IISD) in response to the need to address plastic pollution in Canada with a specific focus on single-use plastic waste.</t>
  </si>
  <si>
    <t>The estimates provided in the SUPPLEMENTARY INFORMATION tab were derived by analyzing data from 8 Canadian municipalities. For the full methodology and sources, please see the report:</t>
  </si>
  <si>
    <t>Puzyreva, M. Kroft, E., Haney, J. (2026). Determining the Economic Cost of Single-Use Plastic Waste in Canada. International Institute For Sustainable Development</t>
  </si>
  <si>
    <t>MINIMUM DATA REQUIREMENTS</t>
  </si>
  <si>
    <t>At minimum, you will need:</t>
  </si>
  <si>
    <t xml:space="preserve">   • Weight of total waste and plastic waste collected in a waste stream</t>
  </si>
  <si>
    <t xml:space="preserve">   • Cost of managing a waste stream</t>
  </si>
  <si>
    <t xml:space="preserve">   • Data for at least one year</t>
  </si>
  <si>
    <t>For more detailed analysis:</t>
  </si>
  <si>
    <t xml:space="preserve">   • Waste audit reports with SUP breakdown</t>
  </si>
  <si>
    <t xml:space="preserve">   • Data from all waste management actors in your locality</t>
  </si>
  <si>
    <t xml:space="preserve">   • Population data for per capita calculations</t>
  </si>
  <si>
    <t>Note: The SUP tracking section is OPTIONAL. The tool can still be used with basic weight and cost data only.</t>
  </si>
  <si>
    <t>HOW TO USE THIS TOOL</t>
  </si>
  <si>
    <t>STEP 1️⃣</t>
  </si>
  <si>
    <t>Start with 'Units and Governance' Tab</t>
  </si>
  <si>
    <t>This is your central configuration hub. Complete these settings FIRST:</t>
  </si>
  <si>
    <t xml:space="preserve">   a) Select currency (CAD, USD, EUR, or GBP)</t>
  </si>
  <si>
    <t>Applies to entire tool - all streams use same currency</t>
  </si>
  <si>
    <t xml:space="preserve">   b) Enter Year 1 and Year 2</t>
  </si>
  <si>
    <t>Define your data collection periods (e.g., 2025, 2026)</t>
  </si>
  <si>
    <t xml:space="preserve">   c) Customize the SUP list</t>
  </si>
  <si>
    <t>Edit the 11 SUP items or keep defaults - changes update all tabs</t>
  </si>
  <si>
    <t xml:space="preserve">   d) Enter Total Community Population</t>
  </si>
  <si>
    <t>Used for Summary per capita calculations</t>
  </si>
  <si>
    <t xml:space="preserve">   e) Assign responsible authorities</t>
  </si>
  <si>
    <t>Identify which department provides data for each waste stream</t>
  </si>
  <si>
    <t xml:space="preserve">   f) Select weight units per stream</t>
  </si>
  <si>
    <t>Each stream can use different units (kg, tonnes, lbs) - auto-converted to kg in the Summary</t>
  </si>
  <si>
    <t>STEP 2️⃣</t>
  </si>
  <si>
    <t>Enter Data in 'Residential' Tab</t>
  </si>
  <si>
    <t>For residential garbage and recycling streams:</t>
  </si>
  <si>
    <t xml:space="preserve">   • Enter Population Served for this stream</t>
  </si>
  <si>
    <t>May differ from total community population</t>
  </si>
  <si>
    <t xml:space="preserve">   • Enter total garbage/recycling collected (weight)</t>
  </si>
  <si>
    <t>In your chosen units - auto-converts to kg</t>
  </si>
  <si>
    <t xml:space="preserve">   • Enter cost breakdown (Collection, Transportation, etc.)</t>
  </si>
  <si>
    <t>Use Notes column to document what's included</t>
  </si>
  <si>
    <t xml:space="preserve">   • (Optional) Enter individual SUP weights</t>
  </si>
  <si>
    <t>For detailed plastic breakdown by item</t>
  </si>
  <si>
    <t xml:space="preserve">   ➜ Repeat for Year 1 (left side) and Year 2 (right side)</t>
  </si>
  <si>
    <t>Side-by-side layout for easy comparison</t>
  </si>
  <si>
    <t>STEP 3️⃣</t>
  </si>
  <si>
    <t>Enter Data in 'Commercial/Industrial' Tab</t>
  </si>
  <si>
    <t>For commercial AND industrial garbage and recycling streams:</t>
  </si>
  <si>
    <t xml:space="preserve">   • Same structure as Residential tab</t>
  </si>
  <si>
    <t>Garbage + Recycling sections, Year 1 &amp; Year 2 side-by-side</t>
  </si>
  <si>
    <t xml:space="preserve">   • Enter Population Served, weights, costs, and SUP data</t>
  </si>
  <si>
    <t>STEP 4️⃣</t>
  </si>
  <si>
    <t>Enter Data in 'Wastewater' Tab</t>
  </si>
  <si>
    <t>For wastewater screening data:</t>
  </si>
  <si>
    <t xml:space="preserve">   • Enter Population Served by wastewater system</t>
  </si>
  <si>
    <t xml:space="preserve">   • Enter total screenings collected</t>
  </si>
  <si>
    <t xml:space="preserve">   • Choose input method for SUPs:</t>
  </si>
  <si>
    <t>COUNT method (# items × avg weight) OR direct WEIGHT entry</t>
  </si>
  <si>
    <t xml:space="preserve">   • Enter cost breakdown</t>
  </si>
  <si>
    <t>Equipment, labour, disposal costs</t>
  </si>
  <si>
    <t>STEP 5️⃣</t>
  </si>
  <si>
    <t>View Results in 'Summary' Tab</t>
  </si>
  <si>
    <t>All data is automatically aggregated here:</t>
  </si>
  <si>
    <t xml:space="preserve">   • SUP Weight by Stream table</t>
  </si>
  <si>
    <t>Shows each SUP across all 5 streams with totals and per capita</t>
  </si>
  <si>
    <t xml:space="preserve">   • SUP Cost by Stream table</t>
  </si>
  <si>
    <t>Cost allocation based on weight proportion</t>
  </si>
  <si>
    <t xml:space="preserve">   • Year-over-Year Comparison</t>
  </si>
  <si>
    <t>Shows change, % change, and trend arrows (↑↓→)</t>
  </si>
  <si>
    <t xml:space="preserve">   • Interactive charts</t>
  </si>
  <si>
    <t>Visualize cost distribution by SUP type and stream</t>
  </si>
  <si>
    <t>REFERENCE</t>
  </si>
  <si>
    <t>SUPPLEMENTARY INFORMATION' Tab</t>
  </si>
  <si>
    <t>Use this tab if you lack complete data:</t>
  </si>
  <si>
    <t xml:space="preserve">   • Median cost rates ($/kg) from 8 Canadian municipalities</t>
  </si>
  <si>
    <t>For estimating costs when unknown</t>
  </si>
  <si>
    <t xml:space="preserve">   • Plastic proportion estimates</t>
  </si>
  <si>
    <t>15% of waste stream is typically plastic</t>
  </si>
  <si>
    <t xml:space="preserve">   • Per capita SUP estimates (kg/person/year)</t>
  </si>
  <si>
    <t>For estimating SUP weights when unknown</t>
  </si>
  <si>
    <t xml:space="preserve">   ⚠️ These are reference estimates only - not auto-linked</t>
  </si>
  <si>
    <t>Copy values manually if needed</t>
  </si>
  <si>
    <t>KEY FEATURES</t>
  </si>
  <si>
    <t>Feature</t>
  </si>
  <si>
    <t>Description</t>
  </si>
  <si>
    <t>Multi-stream aggregation</t>
  </si>
  <si>
    <t>Combine data from Residential, Commercial, and Wastewater into unified Summary view</t>
  </si>
  <si>
    <t>Flexible units</t>
  </si>
  <si>
    <t>Each waste stream can use different weight units (kg, tonnes, lbs) - auto-converted to kg</t>
  </si>
  <si>
    <t>Customizable SUPs</t>
  </si>
  <si>
    <t>Edit the 11 SUP items in Units and Governance to track plastics relevant to your locality</t>
  </si>
  <si>
    <t>Two-year comparison</t>
  </si>
  <si>
    <t>Track changes between years with automatic trend analysis and visual indicators</t>
  </si>
  <si>
    <t>Per capita metrics</t>
  </si>
  <si>
    <t>Population-adjusted weight and cost calculations using appropriate population base</t>
  </si>
  <si>
    <t>Cost allocation</t>
  </si>
  <si>
    <t>Automatically allocates costs to each SUP based on its weight proportion of total stream</t>
  </si>
  <si>
    <t>Notes columns</t>
  </si>
  <si>
    <t>Document data sources, caveats, and methodology for each entry throughout the tool</t>
  </si>
  <si>
    <t>COLOR CODING</t>
  </si>
  <si>
    <t>Color</t>
  </si>
  <si>
    <t>Meaning</t>
  </si>
  <si>
    <t>Action</t>
  </si>
  <si>
    <t>Light Yellow</t>
  </si>
  <si>
    <t>User Input</t>
  </si>
  <si>
    <t>Enter your data or notes here</t>
  </si>
  <si>
    <t>Light Blue</t>
  </si>
  <si>
    <t>Auto-calculated</t>
  </si>
  <si>
    <t>Formulas - do not edit</t>
  </si>
  <si>
    <t>Light Grey</t>
  </si>
  <si>
    <t>Info / Explanations</t>
  </si>
  <si>
    <t>Pre-filled guidance - do not edit</t>
  </si>
  <si>
    <t>METHODOLOGY LIMITATIONS</t>
  </si>
  <si>
    <t>This tool uses WEIGHT-BASED cost allocation for individual SUP items.</t>
  </si>
  <si>
    <t>What this means:</t>
  </si>
  <si>
    <t>• Each SUP's cost is calculated based on its share of total waste weight</t>
  </si>
  <si>
    <t>• Formula: SUP Cost = (SUP Weight ÷ Total Stream Weight) × Total Stream Cost</t>
  </si>
  <si>
    <t>Limitation - Volume vs. Weight:</t>
  </si>
  <si>
    <t>• Some lightweight, bulky items (e.g., foam trays, plastic bags) may cost MORE to manage than weight suggests</t>
  </si>
  <si>
    <t>• These items take up significant truck/bin space but weigh little, increasing collection frequency</t>
  </si>
  <si>
    <t>• Conversely, dense items may appear more costly by weight but are cheaper per unit to handle</t>
  </si>
  <si>
    <t>Recommendation:</t>
  </si>
  <si>
    <t>• Note this limitation when presenting results to stakeholders</t>
  </si>
  <si>
    <t>• Supplement weight data with volume estimates for bulky items</t>
  </si>
  <si>
    <t>QUESTIONS &amp; FEEDBACK</t>
  </si>
  <si>
    <t>For any questions or feedback, please contact:</t>
  </si>
  <si>
    <t>info@iisd.org</t>
  </si>
  <si>
    <t>© 2026 International Institute for Sustainable Development</t>
  </si>
  <si>
    <t>Published by the International Institute for Sustainable Development</t>
  </si>
  <si>
    <t>This tool is licensed under a Creative Commons AttributionNonCommercial-ShareAlike 4.0 International License.</t>
  </si>
  <si>
    <t>UNITS, GOVERNANCE &amp; OTHER DATA ENTRY ASSIGNMENTS</t>
  </si>
  <si>
    <t>This tab assigns responsible authorities to each waste stream, sets their input units, and directs them to the correct data entry tab.</t>
  </si>
  <si>
    <t>💵 GLOBAL CURRENCY (applies to entire tool - select CAD, USD, EUR, or GBP)</t>
  </si>
  <si>
    <t>Select Currency:</t>
  </si>
  <si>
    <t>CAD</t>
  </si>
  <si>
    <t>← Select from dropdown (CAD, USD, EUR, GBP)</t>
  </si>
  <si>
    <t>POPULATION DATA</t>
  </si>
  <si>
    <t>Total Community Population</t>
  </si>
  <si>
    <t>people</t>
  </si>
  <si>
    <t>📌 IMPORTANT: Population Served vs. Total Community Population</t>
  </si>
  <si>
    <t>• Population Served: Enter in each INPUT TAB (Residential, Commercial, Wastewater) - used for stream-specific per capita</t>
  </si>
  <si>
    <t>• Total Community Population: Enter ABOVE (B8) - used ONLY in Summary to calculate combined per capita across all streams</t>
  </si>
  <si>
    <t>YEAR SELECTION</t>
  </si>
  <si>
    <t>Year 1</t>
  </si>
  <si>
    <t>← Enter first year</t>
  </si>
  <si>
    <t>Year 2</t>
  </si>
  <si>
    <t>← Enter second year</t>
  </si>
  <si>
    <t>SUP LIST (Customize the Single-Use Plastics tracked in this tool)</t>
  </si>
  <si>
    <t>#</t>
  </si>
  <si>
    <t>SUP Item Name</t>
  </si>
  <si>
    <t>← Edit names as needed</t>
  </si>
  <si>
    <t>Lined hot cups</t>
  </si>
  <si>
    <t>Plastic cold cups</t>
  </si>
  <si>
    <t>Cup lids</t>
  </si>
  <si>
    <t>Vaping devices</t>
  </si>
  <si>
    <t>Bottle caps</t>
  </si>
  <si>
    <t>Plastic bottles</t>
  </si>
  <si>
    <t>Foam trays</t>
  </si>
  <si>
    <t>Tampon applicators</t>
  </si>
  <si>
    <t>Other SUP 1</t>
  </si>
  <si>
    <t>Other SUP 2</t>
  </si>
  <si>
    <t>Other SUP 3</t>
  </si>
  <si>
    <t>Edit the SUP names above - changes will automatically update all tabs and Summary</t>
  </si>
  <si>
    <t>WASTE STREAM ASSIGNMENTS - Responsible Authorities &amp; Data Entry Navigation</t>
  </si>
  <si>
    <t>Waste Stream</t>
  </si>
  <si>
    <t>Responsible Authority</t>
  </si>
  <si>
    <t>Weight Unit</t>
  </si>
  <si>
    <t>Conversion to kg</t>
  </si>
  <si>
    <t>Data Entry Tab</t>
  </si>
  <si>
    <t>Residential - Garbage</t>
  </si>
  <si>
    <t>kg</t>
  </si>
  <si>
    <t>Residential</t>
  </si>
  <si>
    <t>Residential - Recycling</t>
  </si>
  <si>
    <t>Commercial/Industrial - Garbage</t>
  </si>
  <si>
    <t>Commercial/Industrial</t>
  </si>
  <si>
    <t>Commercial/Industrial - Recycling</t>
  </si>
  <si>
    <t>Wastewater</t>
  </si>
  <si>
    <t>HOW TO USE THIS TAB</t>
  </si>
  <si>
    <t>1️⃣</t>
  </si>
  <si>
    <t>Select CURRENCY (B5)</t>
  </si>
  <si>
    <t>Applies to ALL data entry (CAD, USD, EUR, GBP)</t>
  </si>
  <si>
    <t>2️⃣</t>
  </si>
  <si>
    <t>Enter YEARS (B14, B15)</t>
  </si>
  <si>
    <t>Sets Year 1 and Year 2 for all tabs</t>
  </si>
  <si>
    <t>3️⃣</t>
  </si>
  <si>
    <t>Customize SUP LIST (B19:B29)</t>
  </si>
  <si>
    <t>Edit SUP names - updates all tabs</t>
  </si>
  <si>
    <t>4️⃣</t>
  </si>
  <si>
    <t>Enter POPULATION (B8)</t>
  </si>
  <si>
    <t>For Summary per capita</t>
  </si>
  <si>
    <t>5️⃣</t>
  </si>
  <si>
    <t>Enter RESPONSIBLE AUTHORITY</t>
  </si>
  <si>
    <t>Department providing data</t>
  </si>
  <si>
    <t>6️⃣</t>
  </si>
  <si>
    <t>Select WEIGHT UNIT per stream</t>
  </si>
  <si>
    <t>Each may report differently</t>
  </si>
  <si>
    <t>7️⃣</t>
  </si>
  <si>
    <t>Go to assigned TAB to enter data</t>
  </si>
  <si>
    <t>See Data Entry Tab column</t>
  </si>
  <si>
    <t>COLOR LEGEND</t>
  </si>
  <si>
    <t>User Input - Enter your data or notes here</t>
  </si>
  <si>
    <t>Auto-calculated - Formulas, do not edit</t>
  </si>
  <si>
    <t>Info / Explanations - Pre-filled guidance, do not edit</t>
  </si>
  <si>
    <t>This tab captures residential garbage and recycling data including weights, costs, and SUP breakdown.</t>
  </si>
  <si>
    <t>🗑️ GARBAGE</t>
  </si>
  <si>
    <t>SECTION 1: BASE DATA</t>
  </si>
  <si>
    <t>Value</t>
  </si>
  <si>
    <t>Unit</t>
  </si>
  <si>
    <t>Std (kg)</t>
  </si>
  <si>
    <t>Info</t>
  </si>
  <si>
    <t>Population served by garbage pickup</t>
  </si>
  <si>
    <t>For per capita calculations</t>
  </si>
  <si>
    <t>Total garbage collected</t>
  </si>
  <si>
    <t>Enter weight in your unit</t>
  </si>
  <si>
    <t>Plastic % of garbage stream</t>
  </si>
  <si>
    <t>%</t>
  </si>
  <si>
    <t>Default 15% - adjust if known</t>
  </si>
  <si>
    <t>Calculated plastic weight</t>
  </si>
  <si>
    <t>Auto: Total × Plastic %</t>
  </si>
  <si>
    <t>Calculated plastic cost</t>
  </si>
  <si>
    <t>Auto: Total Costs × Plastic %</t>
  </si>
  <si>
    <t>SECTION 2: INDIVIDUAL SUP WEIGHTS</t>
  </si>
  <si>
    <t>SUP Item</t>
  </si>
  <si>
    <t>Weight</t>
  </si>
  <si>
    <t>Your Notes</t>
  </si>
  <si>
    <t>TOTAL SUP WEIGHT</t>
  </si>
  <si>
    <t>Cost = SUP weight ÷ Total Garbage × Total Costs</t>
  </si>
  <si>
    <t>SECTION 3: COST BREAKDOWN</t>
  </si>
  <si>
    <t>Cost Category</t>
  </si>
  <si>
    <t>Amount</t>
  </si>
  <si>
    <t>Currency</t>
  </si>
  <si>
    <t>% of Total</t>
  </si>
  <si>
    <t>Your Notes (describe what's included)</t>
  </si>
  <si>
    <t>Collection</t>
  </si>
  <si>
    <t xml:space="preserve">. </t>
  </si>
  <si>
    <t>E.g., curbside pickup labor, equipment</t>
  </si>
  <si>
    <t>Transportation</t>
  </si>
  <si>
    <t>E.g., to transfer station, to landfill</t>
  </si>
  <si>
    <t>Processing/Disposal</t>
  </si>
  <si>
    <t>E.g., landfill tipping fees</t>
  </si>
  <si>
    <t>Other cost 1</t>
  </si>
  <si>
    <t>Describe if used</t>
  </si>
  <si>
    <t>Other cost 2</t>
  </si>
  <si>
    <t>Other cost 3</t>
  </si>
  <si>
    <t>TOTAL GARBAGE COSTS</t>
  </si>
  <si>
    <t>SECTION 4: PER CAPITA METRICS (using Population Served above)</t>
  </si>
  <si>
    <t>Metric</t>
  </si>
  <si>
    <t>Calculation</t>
  </si>
  <si>
    <t>Per Capita Plastic Weight</t>
  </si>
  <si>
    <t>kg/person</t>
  </si>
  <si>
    <t>Std plastic weight ÷ Population Served</t>
  </si>
  <si>
    <t>Per Capita Garbage Cost</t>
  </si>
  <si>
    <t>Total cost ÷ Population Served</t>
  </si>
  <si>
    <t>Per Capita Plastic Cost</t>
  </si>
  <si>
    <t>Plastic cost ÷ Population Served</t>
  </si>
  <si>
    <t>♻️ RECYCLING</t>
  </si>
  <si>
    <t>Population served by recycling pickup</t>
  </si>
  <si>
    <t>May differ from garbage pickup</t>
  </si>
  <si>
    <t>Total recycling collected</t>
  </si>
  <si>
    <t>Plastic % of recycling stream</t>
  </si>
  <si>
    <t>Cost = SUP weight ÷ Total Recycling × Total Costs</t>
  </si>
  <si>
    <t>E.g., to MRF or processing facility</t>
  </si>
  <si>
    <t>Processing at facility</t>
  </si>
  <si>
    <t>E.g., sorting, baling</t>
  </si>
  <si>
    <t>Residue disposal</t>
  </si>
  <si>
    <t>E.g., non-recyclable contamination</t>
  </si>
  <si>
    <t>TOTAL RECYCLING COSTS</t>
  </si>
  <si>
    <t>Per Capita Recycling Cost</t>
  </si>
  <si>
    <t>User Input - Enter your data here</t>
  </si>
  <si>
    <t>Info / Explanations - Pre-filled guidance</t>
  </si>
  <si>
    <t>CHARTS</t>
  </si>
  <si>
    <t>COMMERCIAL/INDUSTRIAL WASTE DATA - YEAR 2025</t>
  </si>
  <si>
    <t>COMMERCIAL/INDUSTRIAL WASTE DATA - YEAR 2026</t>
  </si>
  <si>
    <t>This tab captures commercial and industrial garbage and recycling data including weights, costs, and SUP breakdown.</t>
  </si>
  <si>
    <t>Population served by commercial/industrial pickup</t>
  </si>
  <si>
    <t>Total commercial/industrial garbage collected</t>
  </si>
  <si>
    <t>E.g., pickup labor, equipment</t>
  </si>
  <si>
    <t>Total commercial/industrial recycling collected</t>
  </si>
  <si>
    <t xml:space="preserve">CHARTS </t>
  </si>
  <si>
    <t>This tab captures wastewater screening data for plastics captured at treatment facilities, with options for count or weight input.</t>
  </si>
  <si>
    <t>WASTEWATER SCREENING</t>
  </si>
  <si>
    <t>Population served by wastewater system</t>
  </si>
  <si>
    <t>Total screenings collected</t>
  </si>
  <si>
    <t>Enter weight - auto-converts to kg</t>
  </si>
  <si>
    <t>SECTION 2: INDIVIDUAL SUP DATA (Choose: Weight OR Count Method)</t>
  </si>
  <si>
    <t>Count</t>
  </si>
  <si>
    <t>Avg Wt (g)</t>
  </si>
  <si>
    <t># items</t>
  </si>
  <si>
    <t>grams/item</t>
  </si>
  <si>
    <t>OR direct</t>
  </si>
  <si>
    <t>Auto-calc</t>
  </si>
  <si>
    <t>Screening equipment/maintenance</t>
  </si>
  <si>
    <t>E.g., screen replacement, repairs</t>
  </si>
  <si>
    <t>Labour</t>
  </si>
  <si>
    <t>E.g., staff time for screening</t>
  </si>
  <si>
    <t>Removal to landfill</t>
  </si>
  <si>
    <t>E.g., disposal of screened plastic</t>
  </si>
  <si>
    <t>TOTAL WASTEWATER COSTS</t>
  </si>
  <si>
    <t>Total SUP (kg) ÷ Population</t>
  </si>
  <si>
    <t>Per Capita Wastewater Cost</t>
  </si>
  <si>
    <t>Total cost ÷ Population</t>
  </si>
  <si>
    <t>This tab aggregates all data from input tabs, showing total SUP weights and costs by stream with year-over-year comparison.</t>
  </si>
  <si>
    <t>Population:</t>
  </si>
  <si>
    <t>Currency:</t>
  </si>
  <si>
    <t>Res. Garbage</t>
  </si>
  <si>
    <t>Res. Recycling</t>
  </si>
  <si>
    <t>Com. Garbage</t>
  </si>
  <si>
    <t>Com. Recycling</t>
  </si>
  <si>
    <t>TOTAL</t>
  </si>
  <si>
    <t>Per Capita</t>
  </si>
  <si>
    <t>Res. Garbage PC</t>
  </si>
  <si>
    <t>Res. Recycling PC</t>
  </si>
  <si>
    <t>Com. Garbage PC</t>
  </si>
  <si>
    <t>Com. Recycling PC</t>
  </si>
  <si>
    <t>Wastewater PC</t>
  </si>
  <si>
    <t>TOTAL PLASTIC WASTE</t>
  </si>
  <si>
    <t>TOTAL SUP COST</t>
  </si>
  <si>
    <t>TOTAL PLASTIC COST</t>
  </si>
  <si>
    <t>Change</t>
  </si>
  <si>
    <t>% Change</t>
  </si>
  <si>
    <t>Trend</t>
  </si>
  <si>
    <t>Total SUP Weight (kg)</t>
  </si>
  <si>
    <t>Total Plastic Weight (kg)</t>
  </si>
  <si>
    <t>Per Capita SUP Weight (kg)</t>
  </si>
  <si>
    <t>Lined Hot Cups</t>
  </si>
  <si>
    <t>Plastic Cold Cups</t>
  </si>
  <si>
    <t>Cup Lids</t>
  </si>
  <si>
    <t>Vaping Devices</t>
  </si>
  <si>
    <t>Bottle Caps</t>
  </si>
  <si>
    <t>Plastic Bottles</t>
  </si>
  <si>
    <t>Foam Trays</t>
  </si>
  <si>
    <t>Tampon Applicators</t>
  </si>
  <si>
    <t>Stream</t>
  </si>
  <si>
    <t>Res.Garb</t>
  </si>
  <si>
    <t>Res.Rec</t>
  </si>
  <si>
    <t>Com/Ind.Garb</t>
  </si>
  <si>
    <t>Com/Ind.Rec</t>
  </si>
  <si>
    <t>SUPPLEMENTARY INFORMATION</t>
  </si>
  <si>
    <t>This tab provides reference estimates for costs and weights when actual data is unavailable - values are not auto-linked.</t>
  </si>
  <si>
    <t>PURPOSE OF THIS TAB</t>
  </si>
  <si>
    <t>This tab provides REFERENCE DATA to help municipalities estimate plastic waste costs when actual data is unavailable.</t>
  </si>
  <si>
    <t>• These values are ESTIMATES based on data from 6-8 Canadian municipalities</t>
  </si>
  <si>
    <t>IMPORTANT: Use your own data if available; use these estimates only as a starting point or for comparison</t>
  </si>
  <si>
    <t>• Values shown are NOT automatically linked to input tabs - copy values manually if needed</t>
  </si>
  <si>
    <t>MEDIAN COST RATES (per kg)</t>
  </si>
  <si>
    <t>Cost/kg</t>
  </si>
  <si>
    <t>Source / Notes</t>
  </si>
  <si>
    <t>Residential Garbage</t>
  </si>
  <si>
    <t>CAD/kg - Median from 8 Canadian municipalities</t>
  </si>
  <si>
    <t>Residential Recycling</t>
  </si>
  <si>
    <t>Commercial Garbage</t>
  </si>
  <si>
    <t>PLASTIC PROPORTION ESTIMATES</t>
  </si>
  <si>
    <t>% of residential garbage that is plastic</t>
  </si>
  <si>
    <t>Average from 8 Canadian municipalities</t>
  </si>
  <si>
    <t>% of residential recycling that is plastic</t>
  </si>
  <si>
    <t>% of total waste from residential stream</t>
  </si>
  <si>
    <t xml:space="preserve">Statistics Canada. (2024). Disposal of waste, by source. Government of Canada. https://doi.org/10.25318/3810003201-eng </t>
  </si>
  <si>
    <t>% of total waste from commercial stream</t>
  </si>
  <si>
    <t>PER CAPITA SUP ESTIMATES (kg per person per year, residential garbage stream)</t>
  </si>
  <si>
    <t>kg/capita</t>
  </si>
  <si>
    <t>kg per capita - Average derived from waste audit data from six Canadian municipalities</t>
  </si>
  <si>
    <t>HOW TO USE THIS DATA</t>
  </si>
  <si>
    <t>If you don't know your plastic weight:</t>
  </si>
  <si>
    <t>Multiply total waste by 15% (plastic proportion)</t>
  </si>
  <si>
    <t>If you don't know SUP breakdown:</t>
  </si>
  <si>
    <t>Multiply population by per capita estimates above</t>
  </si>
  <si>
    <t>If you don't know costs:</t>
  </si>
  <si>
    <t>Multiply plastic weight (kg) by cost rates above</t>
  </si>
  <si>
    <t>For comparison:</t>
  </si>
  <si>
    <t>Compare your actual data against these benchmarks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</si>
</sst>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quot;$&quot;0.00"/>
    <numFmt numFmtId="166" formatCode="0.0%"/>
    <numFmt numFmtId="167" formatCode="0.0000"/>
    <numFmt numFmtId="168" formatCode="&quot;$&quot;#,##0.0000"/>
  </numFmts>
  <fonts count="60" x14ac:knownFonts="1">
    <font>
      <sz val="11"/>
      <color theme="1"/>
      <name val="Aptos Narrow"/>
      <family val="2"/>
      <scheme val="minor"/>
    </font>
    <font>
      <b/>
      <sz val="11"/>
      <color rgb="FF3F3F3F"/>
      <name val="Aptos Narrow"/>
      <family val="2"/>
      <scheme val="minor"/>
    </font>
    <font>
      <sz val="22"/>
      <color theme="1"/>
      <name val="Calibri"/>
      <family val="2"/>
    </font>
    <font>
      <b/>
      <sz val="11"/>
      <color theme="1"/>
      <name val="Calibri"/>
      <family val="2"/>
    </font>
    <font>
      <b/>
      <sz val="11"/>
      <color theme="1"/>
      <name val="Aptos Narrow"/>
      <family val="2"/>
      <scheme val="minor"/>
    </font>
    <font>
      <b/>
      <sz val="14"/>
      <color rgb="FFFFFFFF"/>
      <name val="Aptos Narrow"/>
      <family val="2"/>
      <scheme val="minor"/>
    </font>
    <font>
      <sz val="11"/>
      <color rgb="FF333333"/>
      <name val="Aptos Narrow"/>
      <family val="2"/>
      <scheme val="minor"/>
    </font>
    <font>
      <b/>
      <sz val="11"/>
      <color rgb="FF333333"/>
      <name val="Aptos Narrow"/>
      <family val="2"/>
    </font>
    <font>
      <b/>
      <sz val="10"/>
      <color rgb="FF2E7D32"/>
      <name val="Calibri"/>
    </font>
    <font>
      <sz val="11"/>
      <color rgb="FF333333"/>
      <name val="Aptos Narrow"/>
      <scheme val="minor"/>
    </font>
    <font>
      <b/>
      <sz val="11"/>
      <color rgb="FF2B579A"/>
      <name val="Aptos Narrow"/>
      <scheme val="minor"/>
    </font>
    <font>
      <b/>
      <sz val="11"/>
      <color rgb="FF333333"/>
      <name val="Aptos Narrow"/>
      <scheme val="minor"/>
    </font>
    <font>
      <sz val="12"/>
      <color rgb="FF333333"/>
      <name val="Aptos Narrow"/>
      <scheme val="minor"/>
    </font>
    <font>
      <b/>
      <i/>
      <sz val="11"/>
      <color rgb="FF2B579A"/>
      <name val="Aptos Narrow"/>
      <scheme val="minor"/>
    </font>
    <font>
      <sz val="11"/>
      <color theme="1"/>
      <name val="Aptos Narrow"/>
      <scheme val="minor"/>
    </font>
    <font>
      <sz val="14"/>
      <color rgb="FF333333"/>
      <name val="Aptos Narrow"/>
    </font>
    <font>
      <sz val="11"/>
      <color rgb="FF333333"/>
      <name val="Aptos Narrow"/>
    </font>
    <font>
      <i/>
      <sz val="11"/>
      <color rgb="FF333333"/>
      <name val="Aptos Narrow"/>
    </font>
    <font>
      <sz val="11"/>
      <color rgb="FF333333"/>
      <name val="Aptos Narrow"/>
      <family val="2"/>
    </font>
    <font>
      <b/>
      <sz val="11"/>
      <color theme="0"/>
      <name val="Aptos Narrow"/>
      <family val="2"/>
      <scheme val="minor"/>
    </font>
    <font>
      <sz val="11"/>
      <color theme="0"/>
      <name val="Aptos Narrow"/>
      <family val="2"/>
      <scheme val="minor"/>
    </font>
    <font>
      <b/>
      <sz val="11"/>
      <color rgb="FFFFFFFF"/>
      <name val="Aptos Narrow"/>
      <family val="2"/>
      <scheme val="minor"/>
    </font>
    <font>
      <i/>
      <sz val="11"/>
      <color theme="1"/>
      <name val="Aptos Narrow"/>
      <family val="2"/>
      <scheme val="minor"/>
    </font>
    <font>
      <b/>
      <sz val="11"/>
      <color rgb="FF333333"/>
      <name val="Aptos Narrow"/>
      <family val="2"/>
      <scheme val="minor"/>
    </font>
    <font>
      <i/>
      <sz val="11"/>
      <color rgb="FF333333"/>
      <name val="Aptos Narrow"/>
      <family val="2"/>
      <scheme val="minor"/>
    </font>
    <font>
      <i/>
      <sz val="11"/>
      <color rgb="FF666666"/>
      <name val="Aptos Narrow"/>
      <family val="2"/>
      <scheme val="minor"/>
    </font>
    <font>
      <b/>
      <sz val="10"/>
      <color theme="1"/>
      <name val="Aptos Narrow"/>
      <family val="2"/>
      <scheme val="minor"/>
    </font>
    <font>
      <sz val="10"/>
      <color rgb="FF333333"/>
      <name val="Aptos Narrow"/>
      <family val="2"/>
      <scheme val="minor"/>
    </font>
    <font>
      <sz val="11"/>
      <name val="Aptos Narrow"/>
      <family val="2"/>
      <scheme val="minor"/>
    </font>
    <font>
      <b/>
      <sz val="18"/>
      <color rgb="FFFFFFFF"/>
      <name val="Aptos Narrow"/>
      <family val="2"/>
      <scheme val="minor"/>
    </font>
    <font>
      <i/>
      <sz val="10"/>
      <color rgb="FF333333"/>
      <name val="Aptos Narrow"/>
      <family val="2"/>
      <scheme val="minor"/>
    </font>
    <font>
      <b/>
      <sz val="13"/>
      <color rgb="FF333333"/>
      <name val="Aptos Narrow"/>
      <family val="2"/>
      <scheme val="minor"/>
    </font>
    <font>
      <b/>
      <sz val="10"/>
      <color rgb="FF333333"/>
      <name val="Aptos Narrow"/>
      <family val="2"/>
      <scheme val="minor"/>
    </font>
    <font>
      <b/>
      <sz val="11"/>
      <color rgb="FF083266"/>
      <name val="Aptos Narrow"/>
      <family val="2"/>
      <scheme val="minor"/>
    </font>
    <font>
      <b/>
      <sz val="14"/>
      <color rgb="FFFFFFFF"/>
      <name val="Aptos Narrow"/>
      <family val="2"/>
    </font>
    <font>
      <b/>
      <i/>
      <sz val="11"/>
      <color rgb="FF333333"/>
      <name val="Aptos Narrow"/>
      <family val="2"/>
    </font>
    <font>
      <i/>
      <sz val="11"/>
      <color rgb="FF333333"/>
      <name val="Aptos Narrow"/>
      <family val="2"/>
    </font>
    <font>
      <b/>
      <sz val="12"/>
      <color theme="0"/>
      <name val="Aptos Narrow"/>
      <family val="2"/>
      <scheme val="minor"/>
    </font>
    <font>
      <sz val="11"/>
      <name val="Aptos Narrow"/>
      <family val="2"/>
    </font>
    <font>
      <b/>
      <sz val="11"/>
      <name val="Calibri"/>
      <family val="2"/>
    </font>
    <font>
      <i/>
      <sz val="11"/>
      <name val="Aptos Narrow"/>
      <family val="2"/>
    </font>
    <font>
      <sz val="22"/>
      <color theme="0"/>
      <name val="Calibri"/>
      <family val="2"/>
    </font>
    <font>
      <b/>
      <sz val="16"/>
      <color theme="0"/>
      <name val="Aptos Narrow"/>
      <family val="2"/>
      <scheme val="minor"/>
    </font>
    <font>
      <u/>
      <sz val="11"/>
      <color theme="10"/>
      <name val="Aptos Narrow"/>
      <family val="2"/>
      <scheme val="minor"/>
    </font>
    <font>
      <b/>
      <sz val="10"/>
      <color rgb="FFFFFFFF"/>
      <name val="Aptos Narrow"/>
      <family val="2"/>
      <scheme val="minor"/>
    </font>
    <font>
      <b/>
      <sz val="12"/>
      <color rgb="FFFFFFFF"/>
      <name val="Aptos Narrow"/>
      <family val="2"/>
      <scheme val="minor"/>
    </font>
    <font>
      <b/>
      <sz val="12"/>
      <color rgb="FFFFFFFF"/>
      <name val="Aptos Narrow"/>
      <family val="2"/>
    </font>
    <font>
      <b/>
      <sz val="16"/>
      <color rgb="FFFFFFFF"/>
      <name val="Aptos Narrow"/>
      <family val="2"/>
      <scheme val="minor"/>
    </font>
    <font>
      <b/>
      <sz val="9"/>
      <color rgb="FF333333"/>
      <name val="Aptos Narrow"/>
      <family val="2"/>
    </font>
    <font>
      <sz val="9"/>
      <color rgb="FF333333"/>
      <name val="Aptos Narrow"/>
      <family val="2"/>
    </font>
    <font>
      <b/>
      <sz val="12"/>
      <color theme="1"/>
      <name val="Aptos Narrow"/>
      <family val="2"/>
      <scheme val="minor"/>
    </font>
    <font>
      <i/>
      <sz val="10"/>
      <color rgb="FF666666"/>
      <name val="Aptos Narrow"/>
      <family val="2"/>
      <scheme val="minor"/>
    </font>
    <font>
      <i/>
      <sz val="11"/>
      <color theme="2" tint="-0.749992370372631"/>
      <name val="Aptos Narrow"/>
      <family val="2"/>
      <scheme val="minor"/>
    </font>
    <font>
      <sz val="11"/>
      <color theme="2" tint="-0.749992370372631"/>
      <name val="Aptos Narrow"/>
      <family val="2"/>
      <scheme val="minor"/>
    </font>
    <font>
      <i/>
      <sz val="10"/>
      <color theme="2" tint="-0.749992370372631"/>
      <name val="Aptos Narrow"/>
      <family val="2"/>
      <scheme val="minor"/>
    </font>
    <font>
      <i/>
      <sz val="9"/>
      <color theme="2" tint="-0.749992370372631"/>
      <name val="Aptos Narrow"/>
      <family val="2"/>
      <scheme val="minor"/>
    </font>
    <font>
      <b/>
      <sz val="12"/>
      <color theme="0"/>
      <name val="Aptos Narrow"/>
      <family val="2"/>
    </font>
    <font>
      <b/>
      <sz val="13"/>
      <color theme="1"/>
      <name val="Aptos Narrow"/>
      <family val="2"/>
      <scheme val="minor"/>
    </font>
    <font>
      <sz val="13"/>
      <color theme="1"/>
      <name val="Aptos Narrow"/>
      <family val="2"/>
      <scheme val="minor"/>
    </font>
    <font>
      <b/>
      <sz val="11"/>
      <name val="Aptos Narrow"/>
      <family val="2"/>
      <scheme val="minor"/>
    </font>
  </fonts>
  <fills count="16">
    <fill>
      <patternFill patternType="none"/>
    </fill>
    <fill>
      <patternFill patternType="gray125"/>
    </fill>
    <fill>
      <patternFill patternType="solid">
        <fgColor rgb="FFF2F2F2"/>
      </patternFill>
    </fill>
    <fill>
      <patternFill patternType="solid">
        <fgColor rgb="FFFFFFFF"/>
        <bgColor indexed="64"/>
      </patternFill>
    </fill>
    <fill>
      <patternFill patternType="solid">
        <fgColor rgb="FFF0F0F0"/>
        <bgColor indexed="64"/>
      </patternFill>
    </fill>
    <fill>
      <patternFill patternType="solid">
        <fgColor rgb="FFF5F5F5"/>
        <bgColor indexed="64"/>
      </patternFill>
    </fill>
    <fill>
      <patternFill patternType="solid">
        <fgColor rgb="FFFAFAFA"/>
        <bgColor indexed="64"/>
      </patternFill>
    </fill>
    <fill>
      <patternFill patternType="solid">
        <fgColor rgb="FFFFF9C4"/>
        <bgColor indexed="64"/>
      </patternFill>
    </fill>
    <fill>
      <patternFill patternType="solid">
        <fgColor rgb="FF083266"/>
        <bgColor indexed="64"/>
      </patternFill>
    </fill>
    <fill>
      <patternFill patternType="solid">
        <fgColor rgb="FFE3EFFD"/>
        <bgColor indexed="64"/>
      </patternFill>
    </fill>
    <fill>
      <patternFill patternType="solid">
        <fgColor rgb="FF29C3EC"/>
        <bgColor indexed="64"/>
      </patternFill>
    </fill>
    <fill>
      <patternFill patternType="solid">
        <fgColor rgb="FFEFEFEF"/>
        <bgColor indexed="64"/>
      </patternFill>
    </fill>
    <fill>
      <patternFill patternType="solid">
        <fgColor theme="2"/>
        <bgColor indexed="64"/>
      </patternFill>
    </fill>
    <fill>
      <patternFill patternType="solid">
        <fgColor rgb="FFD8E8FC"/>
        <bgColor indexed="64"/>
      </patternFill>
    </fill>
    <fill>
      <patternFill patternType="solid">
        <fgColor rgb="FFE0E0E0"/>
        <bgColor indexed="64"/>
      </patternFill>
    </fill>
    <fill>
      <patternFill patternType="solid">
        <fgColor rgb="FFE8E8E8"/>
        <bgColor indexed="64"/>
      </patternFill>
    </fill>
  </fills>
  <borders count="13">
    <border>
      <left/>
      <right/>
      <top/>
      <bottom/>
      <diagonal/>
    </border>
    <border>
      <left style="thin">
        <color rgb="FF3F3F3F"/>
      </left>
      <right style="thin">
        <color rgb="FF3F3F3F"/>
      </right>
      <top style="thin">
        <color rgb="FF3F3F3F"/>
      </top>
      <bottom style="thin">
        <color rgb="FF3F3F3F"/>
      </bottom>
      <diagonal/>
    </border>
    <border>
      <left/>
      <right/>
      <top/>
      <bottom style="thin">
        <color rgb="FFE0E0E0"/>
      </bottom>
      <diagonal/>
    </border>
    <border>
      <left/>
      <right/>
      <top/>
      <bottom style="thin">
        <color rgb="FFE8E8E8"/>
      </bottom>
      <diagonal/>
    </border>
    <border>
      <left/>
      <right/>
      <top style="thin">
        <color rgb="FFE8E8E8"/>
      </top>
      <bottom style="thin">
        <color rgb="FFE8E8E8"/>
      </bottom>
      <diagonal/>
    </border>
    <border>
      <left/>
      <right/>
      <top style="thin">
        <color rgb="FFE8E8E8"/>
      </top>
      <bottom style="thin">
        <color rgb="FFE0E0E0"/>
      </bottom>
      <diagonal/>
    </border>
    <border>
      <left/>
      <right/>
      <top style="thin">
        <color rgb="FFE0E0E0"/>
      </top>
      <bottom/>
      <diagonal/>
    </border>
    <border>
      <left style="thin">
        <color rgb="FFE0E0E0"/>
      </left>
      <right/>
      <top style="thin">
        <color rgb="FFE0E0E0"/>
      </top>
      <bottom/>
      <diagonal/>
    </border>
    <border>
      <left style="thin">
        <color rgb="FFE0E0E0"/>
      </left>
      <right/>
      <top/>
      <bottom/>
      <diagonal/>
    </border>
    <border>
      <left style="thin">
        <color rgb="FFE0E0E0"/>
      </left>
      <right/>
      <top/>
      <bottom style="thin">
        <color rgb="FFE0E0E0"/>
      </bottom>
      <diagonal/>
    </border>
    <border>
      <left/>
      <right style="thin">
        <color rgb="FFE0E0E0"/>
      </right>
      <top style="thin">
        <color rgb="FFE0E0E0"/>
      </top>
      <bottom/>
      <diagonal/>
    </border>
    <border>
      <left/>
      <right style="thin">
        <color rgb="FFE0E0E0"/>
      </right>
      <top/>
      <bottom/>
      <diagonal/>
    </border>
    <border>
      <left/>
      <right style="thin">
        <color rgb="FFE0E0E0"/>
      </right>
      <top/>
      <bottom style="thin">
        <color rgb="FFE0E0E0"/>
      </bottom>
      <diagonal/>
    </border>
  </borders>
  <cellStyleXfs count="3">
    <xf numFmtId="0" fontId="0" fillId="0" borderId="0"/>
    <xf numFmtId="0" fontId="1" fillId="2" borderId="1" applyNumberFormat="0" applyAlignment="0" applyProtection="0"/>
    <xf numFmtId="0" fontId="43" fillId="0" borderId="0" applyNumberFormat="0" applyFill="0" applyBorder="0" applyAlignment="0" applyProtection="0"/>
  </cellStyleXfs>
  <cellXfs count="297">
    <xf numFmtId="0" fontId="0" fillId="0" borderId="0" xfId="0"/>
    <xf numFmtId="0" fontId="0" fillId="0" borderId="0" xfId="0" applyAlignment="1">
      <alignment wrapText="1"/>
    </xf>
    <xf numFmtId="0" fontId="0" fillId="0" borderId="0" xfId="0" applyProtection="1">
      <protection locked="0"/>
    </xf>
    <xf numFmtId="0" fontId="0" fillId="0" borderId="0" xfId="0" applyAlignment="1" applyProtection="1">
      <alignment wrapText="1"/>
      <protection locked="0"/>
    </xf>
    <xf numFmtId="0" fontId="2" fillId="0" borderId="0" xfId="0" applyFont="1"/>
    <xf numFmtId="0" fontId="3" fillId="0" borderId="0" xfId="0" applyFont="1" applyAlignment="1">
      <alignment horizontal="left" vertical="top" wrapText="1"/>
    </xf>
    <xf numFmtId="0" fontId="0" fillId="3" borderId="0" xfId="0" applyFill="1"/>
    <xf numFmtId="0" fontId="6" fillId="0" borderId="0" xfId="0" applyFont="1"/>
    <xf numFmtId="0" fontId="4" fillId="5" borderId="0" xfId="0" applyFont="1" applyFill="1"/>
    <xf numFmtId="0" fontId="0" fillId="4" borderId="0" xfId="0" applyFill="1"/>
    <xf numFmtId="0" fontId="16" fillId="4" borderId="0" xfId="0" applyFont="1" applyFill="1" applyAlignment="1">
      <alignment wrapText="1"/>
    </xf>
    <xf numFmtId="0" fontId="16" fillId="4" borderId="0" xfId="1" applyFont="1" applyFill="1" applyBorder="1" applyAlignment="1">
      <alignment wrapText="1"/>
    </xf>
    <xf numFmtId="0" fontId="9" fillId="4" borderId="0" xfId="0" applyFont="1" applyFill="1"/>
    <xf numFmtId="0" fontId="14" fillId="4" borderId="0" xfId="0" applyFont="1" applyFill="1"/>
    <xf numFmtId="0" fontId="6" fillId="4" borderId="0" xfId="0" applyFont="1" applyFill="1"/>
    <xf numFmtId="0" fontId="23" fillId="5" borderId="0" xfId="0" applyFont="1" applyFill="1"/>
    <xf numFmtId="0" fontId="0" fillId="7" borderId="0" xfId="0" applyFill="1"/>
    <xf numFmtId="0" fontId="14" fillId="0" borderId="0" xfId="0" applyFont="1"/>
    <xf numFmtId="0" fontId="8" fillId="0" borderId="0" xfId="0" applyFont="1" applyAlignment="1">
      <alignment wrapText="1"/>
    </xf>
    <xf numFmtId="0" fontId="11" fillId="0" borderId="0" xfId="0" applyFont="1" applyAlignment="1">
      <alignment horizontal="left"/>
    </xf>
    <xf numFmtId="0" fontId="10" fillId="0" borderId="0" xfId="0" applyFont="1"/>
    <xf numFmtId="0" fontId="13" fillId="0" borderId="0" xfId="0" applyFont="1"/>
    <xf numFmtId="0" fontId="27" fillId="0" borderId="0" xfId="0" applyFont="1"/>
    <xf numFmtId="0" fontId="9" fillId="0" borderId="0" xfId="0" applyFont="1"/>
    <xf numFmtId="0" fontId="23" fillId="5" borderId="0" xfId="0" applyFont="1" applyFill="1" applyAlignment="1">
      <alignment vertical="center" wrapText="1"/>
    </xf>
    <xf numFmtId="0" fontId="6" fillId="0" borderId="0" xfId="0" applyFont="1" applyAlignment="1">
      <alignment vertical="center" wrapText="1"/>
    </xf>
    <xf numFmtId="0" fontId="23" fillId="0" borderId="0" xfId="0" applyFont="1" applyAlignment="1">
      <alignment vertical="center" wrapText="1"/>
    </xf>
    <xf numFmtId="0" fontId="9" fillId="0" borderId="4" xfId="0" applyFont="1" applyBorder="1"/>
    <xf numFmtId="0" fontId="9" fillId="0" borderId="5" xfId="0" applyFont="1" applyBorder="1"/>
    <xf numFmtId="0" fontId="9" fillId="0" borderId="0" xfId="0" applyFont="1" applyAlignment="1">
      <alignment horizontal="center"/>
    </xf>
    <xf numFmtId="0" fontId="0" fillId="0" borderId="0" xfId="0" applyAlignment="1">
      <alignment horizontal="left"/>
    </xf>
    <xf numFmtId="4" fontId="0" fillId="0" borderId="0" xfId="0" applyNumberFormat="1"/>
    <xf numFmtId="9" fontId="0" fillId="0" borderId="0" xfId="0" applyNumberFormat="1"/>
    <xf numFmtId="0" fontId="16" fillId="0" borderId="0" xfId="0" applyFont="1" applyAlignment="1">
      <alignment wrapText="1"/>
    </xf>
    <xf numFmtId="0" fontId="17" fillId="0" borderId="0" xfId="0" applyFont="1" applyAlignment="1">
      <alignment wrapText="1"/>
    </xf>
    <xf numFmtId="4" fontId="16" fillId="0" borderId="0" xfId="0" applyNumberFormat="1" applyFont="1" applyAlignment="1" applyProtection="1">
      <alignment wrapText="1"/>
      <protection locked="0"/>
    </xf>
    <xf numFmtId="0" fontId="16" fillId="0" borderId="0" xfId="0" applyFont="1" applyAlignment="1" applyProtection="1">
      <alignment wrapText="1"/>
      <protection locked="0"/>
    </xf>
    <xf numFmtId="4" fontId="16" fillId="0" borderId="0" xfId="0" applyNumberFormat="1" applyFont="1" applyAlignment="1">
      <alignment wrapText="1"/>
    </xf>
    <xf numFmtId="0" fontId="16" fillId="0" borderId="0" xfId="1" applyFont="1" applyFill="1" applyBorder="1" applyAlignment="1">
      <alignment wrapText="1"/>
    </xf>
    <xf numFmtId="0" fontId="17" fillId="0" borderId="0" xfId="0" applyFont="1" applyAlignment="1" applyProtection="1">
      <alignment wrapText="1"/>
      <protection locked="0"/>
    </xf>
    <xf numFmtId="9" fontId="16" fillId="0" borderId="0" xfId="0" applyNumberFormat="1" applyFont="1" applyAlignment="1" applyProtection="1">
      <alignment wrapText="1"/>
      <protection locked="0"/>
    </xf>
    <xf numFmtId="9" fontId="17" fillId="0" borderId="0" xfId="0" applyNumberFormat="1" applyFont="1" applyAlignment="1" applyProtection="1">
      <alignment wrapText="1"/>
      <protection locked="0"/>
    </xf>
    <xf numFmtId="9" fontId="16" fillId="0" borderId="0" xfId="0" applyNumberFormat="1" applyFont="1" applyAlignment="1">
      <alignment wrapText="1"/>
    </xf>
    <xf numFmtId="9" fontId="17" fillId="0" borderId="0" xfId="0" applyNumberFormat="1" applyFont="1" applyAlignment="1">
      <alignment wrapText="1"/>
    </xf>
    <xf numFmtId="0" fontId="16" fillId="0" borderId="0" xfId="1" applyFont="1" applyFill="1" applyBorder="1" applyAlignment="1" applyProtection="1">
      <alignment wrapText="1"/>
      <protection locked="0"/>
    </xf>
    <xf numFmtId="0" fontId="16" fillId="0" borderId="0" xfId="1" applyFont="1" applyFill="1" applyBorder="1" applyAlignment="1" applyProtection="1">
      <alignment wrapText="1"/>
    </xf>
    <xf numFmtId="9" fontId="9" fillId="0" borderId="0" xfId="0" applyNumberFormat="1" applyFont="1"/>
    <xf numFmtId="9" fontId="14" fillId="0" borderId="0" xfId="0" applyNumberFormat="1" applyFont="1"/>
    <xf numFmtId="0" fontId="9" fillId="7" borderId="0" xfId="0" applyFont="1" applyFill="1"/>
    <xf numFmtId="0" fontId="17" fillId="7" borderId="0" xfId="0" applyFont="1" applyFill="1" applyAlignment="1">
      <alignment wrapText="1"/>
    </xf>
    <xf numFmtId="4" fontId="16" fillId="7" borderId="0" xfId="0" applyNumberFormat="1" applyFont="1" applyFill="1" applyAlignment="1" applyProtection="1">
      <alignment wrapText="1"/>
      <protection locked="0"/>
    </xf>
    <xf numFmtId="2" fontId="16" fillId="7" borderId="0" xfId="0" applyNumberFormat="1" applyFont="1" applyFill="1" applyAlignment="1" applyProtection="1">
      <alignment wrapText="1"/>
      <protection locked="0"/>
    </xf>
    <xf numFmtId="0" fontId="16" fillId="7" borderId="0" xfId="0" applyFont="1" applyFill="1" applyAlignment="1">
      <alignment wrapText="1"/>
    </xf>
    <xf numFmtId="0" fontId="16" fillId="7" borderId="0" xfId="1" applyFont="1" applyFill="1" applyBorder="1" applyAlignment="1">
      <alignment wrapText="1"/>
    </xf>
    <xf numFmtId="0" fontId="16" fillId="7" borderId="0" xfId="0" applyFont="1" applyFill="1" applyAlignment="1" applyProtection="1">
      <alignment wrapText="1"/>
      <protection locked="0"/>
    </xf>
    <xf numFmtId="0" fontId="17" fillId="7" borderId="0" xfId="0" applyFont="1" applyFill="1" applyAlignment="1" applyProtection="1">
      <alignment wrapText="1"/>
      <protection locked="0"/>
    </xf>
    <xf numFmtId="0" fontId="23" fillId="6" borderId="7" xfId="0" applyFont="1" applyFill="1" applyBorder="1"/>
    <xf numFmtId="0" fontId="23" fillId="6" borderId="6" xfId="0" applyFont="1" applyFill="1" applyBorder="1" applyAlignment="1">
      <alignment horizontal="center"/>
    </xf>
    <xf numFmtId="0" fontId="23" fillId="6" borderId="10" xfId="0" applyFont="1" applyFill="1" applyBorder="1" applyAlignment="1">
      <alignment wrapText="1"/>
    </xf>
    <xf numFmtId="0" fontId="32" fillId="5" borderId="0" xfId="0" applyFont="1" applyFill="1"/>
    <xf numFmtId="0" fontId="6" fillId="7" borderId="0" xfId="0" applyFont="1" applyFill="1"/>
    <xf numFmtId="0" fontId="6" fillId="7" borderId="0" xfId="0" applyFont="1" applyFill="1" applyAlignment="1">
      <alignment vertical="center" wrapText="1"/>
    </xf>
    <xf numFmtId="0" fontId="6" fillId="0" borderId="0" xfId="0" applyFont="1" applyAlignment="1">
      <alignment vertical="center"/>
    </xf>
    <xf numFmtId="0" fontId="6" fillId="0" borderId="0" xfId="0" applyFont="1" applyAlignment="1">
      <alignment wrapText="1"/>
    </xf>
    <xf numFmtId="0" fontId="6" fillId="3" borderId="8" xfId="0" applyFont="1" applyFill="1" applyBorder="1"/>
    <xf numFmtId="0" fontId="6" fillId="3" borderId="9" xfId="0" applyFont="1" applyFill="1" applyBorder="1"/>
    <xf numFmtId="0" fontId="6" fillId="0" borderId="0" xfId="0" applyFont="1" applyAlignment="1">
      <alignment horizontal="center"/>
    </xf>
    <xf numFmtId="165" fontId="6" fillId="3" borderId="0" xfId="0" applyNumberFormat="1" applyFont="1" applyFill="1" applyAlignment="1">
      <alignment horizontal="center"/>
    </xf>
    <xf numFmtId="165" fontId="6" fillId="3" borderId="2" xfId="0" applyNumberFormat="1" applyFont="1" applyFill="1" applyBorder="1" applyAlignment="1">
      <alignment horizontal="center"/>
    </xf>
    <xf numFmtId="9" fontId="6" fillId="3" borderId="0" xfId="0" applyNumberFormat="1" applyFont="1" applyFill="1" applyAlignment="1">
      <alignment horizontal="center"/>
    </xf>
    <xf numFmtId="9" fontId="6" fillId="3" borderId="2" xfId="0" applyNumberFormat="1" applyFont="1" applyFill="1" applyBorder="1" applyAlignment="1">
      <alignment horizontal="center"/>
    </xf>
    <xf numFmtId="2" fontId="6" fillId="3" borderId="0" xfId="0" applyNumberFormat="1" applyFont="1" applyFill="1" applyAlignment="1">
      <alignment horizontal="center"/>
    </xf>
    <xf numFmtId="4" fontId="6" fillId="0" borderId="0" xfId="0" applyNumberFormat="1" applyFont="1"/>
    <xf numFmtId="0" fontId="27" fillId="3" borderId="0" xfId="0" applyFont="1" applyFill="1"/>
    <xf numFmtId="0" fontId="23" fillId="4" borderId="0" xfId="0" applyFont="1" applyFill="1"/>
    <xf numFmtId="0" fontId="16" fillId="4" borderId="0" xfId="0" applyFont="1" applyFill="1" applyAlignment="1" applyProtection="1">
      <alignment wrapText="1"/>
      <protection locked="0"/>
    </xf>
    <xf numFmtId="0" fontId="12" fillId="4" borderId="0" xfId="0" applyFont="1" applyFill="1" applyAlignment="1">
      <alignment horizontal="right"/>
    </xf>
    <xf numFmtId="0" fontId="9" fillId="4" borderId="0" xfId="0" applyFont="1" applyFill="1" applyAlignment="1">
      <alignment wrapText="1"/>
    </xf>
    <xf numFmtId="0" fontId="9" fillId="4" borderId="0" xfId="0" applyFont="1" applyFill="1" applyAlignment="1">
      <alignment horizontal="left" vertical="top"/>
    </xf>
    <xf numFmtId="0" fontId="11" fillId="4" borderId="0" xfId="0" applyFont="1" applyFill="1" applyAlignment="1">
      <alignment horizontal="right"/>
    </xf>
    <xf numFmtId="0" fontId="28" fillId="4" borderId="0" xfId="0" applyFont="1" applyFill="1"/>
    <xf numFmtId="0" fontId="10" fillId="4" borderId="0" xfId="0" applyFont="1" applyFill="1"/>
    <xf numFmtId="0" fontId="6" fillId="4" borderId="0" xfId="0" applyFont="1" applyFill="1" applyAlignment="1">
      <alignment wrapText="1"/>
    </xf>
    <xf numFmtId="0" fontId="6" fillId="4" borderId="0" xfId="0" applyFont="1" applyFill="1" applyAlignment="1">
      <alignment horizontal="right"/>
    </xf>
    <xf numFmtId="0" fontId="6" fillId="4" borderId="11" xfId="0" applyFont="1" applyFill="1" applyBorder="1" applyAlignment="1">
      <alignment wrapText="1"/>
    </xf>
    <xf numFmtId="0" fontId="6" fillId="4" borderId="12" xfId="0" applyFont="1" applyFill="1" applyBorder="1" applyAlignment="1">
      <alignment wrapText="1"/>
    </xf>
    <xf numFmtId="0" fontId="19" fillId="10" borderId="0" xfId="0" applyFont="1" applyFill="1" applyAlignment="1">
      <alignment vertical="center" wrapText="1"/>
    </xf>
    <xf numFmtId="0" fontId="20" fillId="10" borderId="0" xfId="0" applyFont="1" applyFill="1" applyAlignment="1">
      <alignment vertical="center" wrapText="1"/>
    </xf>
    <xf numFmtId="0" fontId="37" fillId="8" borderId="0" xfId="0" applyFont="1" applyFill="1" applyAlignment="1">
      <alignment vertical="center" wrapText="1"/>
    </xf>
    <xf numFmtId="0" fontId="19" fillId="8" borderId="0" xfId="0" applyFont="1" applyFill="1" applyAlignment="1">
      <alignment vertical="center" wrapText="1"/>
    </xf>
    <xf numFmtId="0" fontId="19" fillId="8" borderId="0" xfId="0" quotePrefix="1" applyFont="1" applyFill="1" applyAlignment="1">
      <alignment vertical="center" wrapText="1"/>
    </xf>
    <xf numFmtId="0" fontId="31" fillId="12" borderId="0" xfId="0" applyFont="1" applyFill="1" applyAlignment="1">
      <alignment vertical="center" wrapText="1"/>
    </xf>
    <xf numFmtId="0" fontId="0" fillId="12" borderId="0" xfId="0" applyFill="1"/>
    <xf numFmtId="0" fontId="28" fillId="0" borderId="0" xfId="0" applyFont="1"/>
    <xf numFmtId="0" fontId="39" fillId="0" borderId="0" xfId="0" applyFont="1" applyAlignment="1">
      <alignment wrapText="1"/>
    </xf>
    <xf numFmtId="0" fontId="20" fillId="0" borderId="0" xfId="0" applyFont="1"/>
    <xf numFmtId="0" fontId="41" fillId="0" borderId="0" xfId="0" applyFont="1" applyAlignment="1">
      <alignment horizontal="left"/>
    </xf>
    <xf numFmtId="0" fontId="22" fillId="0" borderId="0" xfId="0" applyFont="1"/>
    <xf numFmtId="0" fontId="6" fillId="9" borderId="0" xfId="0" applyFont="1" applyFill="1"/>
    <xf numFmtId="0" fontId="0" fillId="9" borderId="0" xfId="0" applyFill="1"/>
    <xf numFmtId="4" fontId="6" fillId="13" borderId="0" xfId="0" applyNumberFormat="1" applyFont="1" applyFill="1"/>
    <xf numFmtId="0" fontId="6" fillId="13" borderId="4" xfId="0" applyFont="1" applyFill="1" applyBorder="1"/>
    <xf numFmtId="0" fontId="6" fillId="13" borderId="5" xfId="0" applyFont="1" applyFill="1" applyBorder="1"/>
    <xf numFmtId="0" fontId="6" fillId="13" borderId="0" xfId="0" applyFont="1" applyFill="1"/>
    <xf numFmtId="0" fontId="0" fillId="13" borderId="0" xfId="0" applyFill="1"/>
    <xf numFmtId="0" fontId="23" fillId="13" borderId="0" xfId="0" applyFont="1" applyFill="1"/>
    <xf numFmtId="164" fontId="6" fillId="13" borderId="0" xfId="0" applyNumberFormat="1" applyFont="1" applyFill="1"/>
    <xf numFmtId="9" fontId="0" fillId="13" borderId="0" xfId="0" applyNumberFormat="1" applyFill="1"/>
    <xf numFmtId="0" fontId="18" fillId="13" borderId="0" xfId="0" applyFont="1" applyFill="1" applyAlignment="1">
      <alignment wrapText="1"/>
    </xf>
    <xf numFmtId="0" fontId="9" fillId="13" borderId="0" xfId="0" applyFont="1" applyFill="1"/>
    <xf numFmtId="0" fontId="14" fillId="13" borderId="0" xfId="0" applyFont="1" applyFill="1"/>
    <xf numFmtId="9" fontId="9" fillId="13" borderId="0" xfId="0" applyNumberFormat="1" applyFont="1" applyFill="1"/>
    <xf numFmtId="9" fontId="14" fillId="13" borderId="0" xfId="0" applyNumberFormat="1" applyFont="1" applyFill="1"/>
    <xf numFmtId="0" fontId="6" fillId="13" borderId="0" xfId="0" applyFont="1" applyFill="1" applyAlignment="1">
      <alignment horizontal="left"/>
    </xf>
    <xf numFmtId="164" fontId="6" fillId="13" borderId="0" xfId="0" applyNumberFormat="1" applyFont="1" applyFill="1" applyAlignment="1">
      <alignment horizontal="left"/>
    </xf>
    <xf numFmtId="4" fontId="27" fillId="13" borderId="0" xfId="0" applyNumberFormat="1" applyFont="1" applyFill="1"/>
    <xf numFmtId="166" fontId="27" fillId="13" borderId="0" xfId="0" applyNumberFormat="1" applyFont="1" applyFill="1"/>
    <xf numFmtId="0" fontId="27" fillId="13" borderId="0" xfId="0" applyFont="1" applyFill="1" applyAlignment="1">
      <alignment horizontal="center"/>
    </xf>
    <xf numFmtId="0" fontId="27" fillId="13" borderId="0" xfId="0" applyFont="1" applyFill="1"/>
    <xf numFmtId="0" fontId="32" fillId="14" borderId="0" xfId="0" applyFont="1" applyFill="1"/>
    <xf numFmtId="0" fontId="27" fillId="11" borderId="0" xfId="0" applyFont="1" applyFill="1"/>
    <xf numFmtId="0" fontId="32" fillId="11" borderId="0" xfId="0" applyFont="1" applyFill="1"/>
    <xf numFmtId="0" fontId="23" fillId="14" borderId="0" xfId="0" applyFont="1" applyFill="1"/>
    <xf numFmtId="4" fontId="23" fillId="14" borderId="0" xfId="0" applyNumberFormat="1" applyFont="1" applyFill="1"/>
    <xf numFmtId="164" fontId="23" fillId="14" borderId="0" xfId="0" applyNumberFormat="1" applyFont="1" applyFill="1"/>
    <xf numFmtId="9" fontId="23" fillId="14" borderId="0" xfId="0" applyNumberFormat="1" applyFont="1" applyFill="1"/>
    <xf numFmtId="0" fontId="0" fillId="11" borderId="0" xfId="0" applyFill="1"/>
    <xf numFmtId="0" fontId="28" fillId="11" borderId="0" xfId="0" applyFont="1" applyFill="1"/>
    <xf numFmtId="0" fontId="7" fillId="5" borderId="0" xfId="0" applyFont="1" applyFill="1" applyAlignment="1">
      <alignment wrapText="1"/>
    </xf>
    <xf numFmtId="0" fontId="7" fillId="5" borderId="0" xfId="1" applyFont="1" applyFill="1" applyBorder="1" applyAlignment="1" applyProtection="1">
      <alignment wrapText="1"/>
      <protection locked="0"/>
    </xf>
    <xf numFmtId="0" fontId="7" fillId="5" borderId="0" xfId="0" applyFont="1" applyFill="1" applyAlignment="1" applyProtection="1">
      <alignment wrapText="1"/>
      <protection locked="0"/>
    </xf>
    <xf numFmtId="0" fontId="35" fillId="5" borderId="0" xfId="0" applyFont="1" applyFill="1" applyAlignment="1" applyProtection="1">
      <alignment wrapText="1"/>
      <protection locked="0"/>
    </xf>
    <xf numFmtId="0" fontId="7" fillId="14" borderId="0" xfId="0" applyFont="1" applyFill="1" applyAlignment="1">
      <alignment wrapText="1"/>
    </xf>
    <xf numFmtId="9" fontId="7" fillId="14" borderId="0" xfId="0" applyNumberFormat="1" applyFont="1" applyFill="1" applyAlignment="1">
      <alignment wrapText="1"/>
    </xf>
    <xf numFmtId="0" fontId="15" fillId="11" borderId="0" xfId="0" applyFont="1" applyFill="1" applyAlignment="1">
      <alignment horizontal="left" wrapText="1"/>
    </xf>
    <xf numFmtId="0" fontId="18" fillId="11" borderId="0" xfId="0" applyFont="1" applyFill="1" applyAlignment="1">
      <alignment wrapText="1"/>
    </xf>
    <xf numFmtId="0" fontId="38" fillId="11" borderId="0" xfId="0" applyFont="1" applyFill="1" applyAlignment="1">
      <alignment wrapText="1"/>
    </xf>
    <xf numFmtId="0" fontId="16" fillId="11" borderId="0" xfId="0" applyFont="1" applyFill="1" applyAlignment="1">
      <alignment wrapText="1"/>
    </xf>
    <xf numFmtId="0" fontId="17" fillId="11" borderId="0" xfId="0" applyFont="1" applyFill="1" applyAlignment="1">
      <alignment wrapText="1"/>
    </xf>
    <xf numFmtId="0" fontId="16" fillId="11" borderId="0" xfId="1" applyFont="1" applyFill="1" applyBorder="1" applyAlignment="1">
      <alignment wrapText="1"/>
    </xf>
    <xf numFmtId="0" fontId="18" fillId="11" borderId="0" xfId="1" applyFont="1" applyFill="1" applyBorder="1" applyAlignment="1" applyProtection="1">
      <alignment wrapText="1"/>
      <protection locked="0"/>
    </xf>
    <xf numFmtId="0" fontId="16" fillId="11" borderId="0" xfId="1" applyFont="1" applyFill="1" applyBorder="1" applyAlignment="1" applyProtection="1">
      <alignment wrapText="1"/>
    </xf>
    <xf numFmtId="0" fontId="40" fillId="11" borderId="0" xfId="0" applyFont="1" applyFill="1" applyAlignment="1">
      <alignment wrapText="1"/>
    </xf>
    <xf numFmtId="0" fontId="18" fillId="11" borderId="0" xfId="1" applyFont="1" applyFill="1" applyBorder="1" applyAlignment="1">
      <alignment wrapText="1"/>
    </xf>
    <xf numFmtId="0" fontId="9" fillId="11" borderId="0" xfId="0" applyFont="1" applyFill="1"/>
    <xf numFmtId="0" fontId="14" fillId="11" borderId="0" xfId="0" applyFont="1" applyFill="1"/>
    <xf numFmtId="0" fontId="24" fillId="5" borderId="0" xfId="0" applyFont="1" applyFill="1"/>
    <xf numFmtId="0" fontId="23" fillId="14" borderId="0" xfId="0" applyFont="1" applyFill="1" applyAlignment="1">
      <alignment horizontal="left"/>
    </xf>
    <xf numFmtId="164" fontId="23" fillId="14" borderId="0" xfId="0" applyNumberFormat="1" applyFont="1" applyFill="1" applyAlignment="1">
      <alignment horizontal="left"/>
    </xf>
    <xf numFmtId="0" fontId="20" fillId="11" borderId="0" xfId="0" applyFont="1" applyFill="1"/>
    <xf numFmtId="0" fontId="6" fillId="11" borderId="0" xfId="0" applyFont="1" applyFill="1"/>
    <xf numFmtId="0" fontId="6" fillId="3" borderId="0" xfId="0" applyFont="1" applyFill="1"/>
    <xf numFmtId="0" fontId="6" fillId="3" borderId="0" xfId="0" applyFont="1" applyFill="1" applyAlignment="1">
      <alignment horizontal="right"/>
    </xf>
    <xf numFmtId="0" fontId="23" fillId="7" borderId="0" xfId="0" applyFont="1" applyFill="1"/>
    <xf numFmtId="0" fontId="7" fillId="4" borderId="0" xfId="1" applyFont="1" applyFill="1" applyBorder="1" applyAlignment="1">
      <alignment wrapText="1"/>
    </xf>
    <xf numFmtId="0" fontId="7" fillId="4" borderId="0" xfId="0" applyFont="1" applyFill="1" applyAlignment="1" applyProtection="1">
      <alignment wrapText="1"/>
      <protection locked="0"/>
    </xf>
    <xf numFmtId="0" fontId="7" fillId="7" borderId="0" xfId="1" applyFont="1" applyFill="1" applyBorder="1" applyAlignment="1" applyProtection="1">
      <alignment wrapText="1"/>
      <protection locked="0"/>
    </xf>
    <xf numFmtId="0" fontId="7" fillId="7" borderId="0" xfId="1" applyFont="1" applyFill="1" applyBorder="1" applyAlignment="1">
      <alignment wrapText="1"/>
    </xf>
    <xf numFmtId="0" fontId="7" fillId="7" borderId="0" xfId="0" applyFont="1" applyFill="1" applyAlignment="1" applyProtection="1">
      <alignment wrapText="1"/>
      <protection locked="0"/>
    </xf>
    <xf numFmtId="0" fontId="7" fillId="4" borderId="0" xfId="0" applyFont="1" applyFill="1" applyAlignment="1">
      <alignment wrapText="1"/>
    </xf>
    <xf numFmtId="0" fontId="7" fillId="14" borderId="0" xfId="0" applyFont="1" applyFill="1" applyAlignment="1" applyProtection="1">
      <alignment wrapText="1"/>
      <protection locked="0"/>
    </xf>
    <xf numFmtId="0" fontId="7" fillId="14" borderId="0" xfId="1" applyFont="1" applyFill="1" applyBorder="1" applyAlignment="1">
      <alignment wrapText="1"/>
    </xf>
    <xf numFmtId="0" fontId="51" fillId="0" borderId="0" xfId="0" applyFont="1"/>
    <xf numFmtId="0" fontId="23" fillId="4" borderId="3" xfId="0" applyFont="1" applyFill="1" applyBorder="1"/>
    <xf numFmtId="0" fontId="9" fillId="4" borderId="4" xfId="0" applyFont="1" applyFill="1" applyBorder="1" applyAlignment="1">
      <alignment horizontal="left"/>
    </xf>
    <xf numFmtId="0" fontId="9" fillId="4" borderId="5" xfId="0" applyFont="1" applyFill="1" applyBorder="1" applyAlignment="1">
      <alignment horizontal="left"/>
    </xf>
    <xf numFmtId="0" fontId="4" fillId="4" borderId="0" xfId="0" applyFont="1" applyFill="1"/>
    <xf numFmtId="0" fontId="23" fillId="4" borderId="0" xfId="0" applyFont="1" applyFill="1" applyAlignment="1">
      <alignment horizontal="right"/>
    </xf>
    <xf numFmtId="0" fontId="50" fillId="0" borderId="0" xfId="0" applyFont="1"/>
    <xf numFmtId="0" fontId="25" fillId="0" borderId="0" xfId="0" applyFont="1"/>
    <xf numFmtId="2" fontId="27" fillId="13" borderId="0" xfId="0" applyNumberFormat="1" applyFont="1" applyFill="1"/>
    <xf numFmtId="2" fontId="32" fillId="14" borderId="0" xfId="0" applyNumberFormat="1" applyFont="1" applyFill="1"/>
    <xf numFmtId="0" fontId="37" fillId="8" borderId="0" xfId="0" applyFont="1" applyFill="1"/>
    <xf numFmtId="0" fontId="20" fillId="8" borderId="0" xfId="0" applyFont="1" applyFill="1"/>
    <xf numFmtId="0" fontId="18" fillId="4" borderId="0" xfId="0" applyFont="1" applyFill="1" applyAlignment="1">
      <alignment wrapText="1"/>
    </xf>
    <xf numFmtId="0" fontId="18" fillId="4" borderId="0" xfId="0" applyFont="1" applyFill="1" applyAlignment="1" applyProtection="1">
      <alignment wrapText="1"/>
      <protection locked="0"/>
    </xf>
    <xf numFmtId="0" fontId="49" fillId="11" borderId="0" xfId="1" applyFont="1" applyFill="1" applyBorder="1" applyAlignment="1">
      <alignment wrapText="1"/>
    </xf>
    <xf numFmtId="168" fontId="27" fillId="0" borderId="0" xfId="0" applyNumberFormat="1" applyFont="1"/>
    <xf numFmtId="166" fontId="27" fillId="0" borderId="0" xfId="0" applyNumberFormat="1" applyFont="1"/>
    <xf numFmtId="0" fontId="27" fillId="0" borderId="0" xfId="0" applyFont="1" applyAlignment="1">
      <alignment horizontal="center"/>
    </xf>
    <xf numFmtId="0" fontId="50" fillId="5" borderId="0" xfId="0" applyFont="1" applyFill="1"/>
    <xf numFmtId="167" fontId="0" fillId="0" borderId="0" xfId="0" applyNumberFormat="1"/>
    <xf numFmtId="0" fontId="59" fillId="0" borderId="0" xfId="0" applyFont="1"/>
    <xf numFmtId="3" fontId="6" fillId="7" borderId="0" xfId="0" applyNumberFormat="1" applyFont="1" applyFill="1"/>
    <xf numFmtId="3" fontId="23" fillId="13" borderId="0" xfId="0" applyNumberFormat="1" applyFont="1" applyFill="1"/>
    <xf numFmtId="3" fontId="6" fillId="13" borderId="0" xfId="0" applyNumberFormat="1" applyFont="1" applyFill="1"/>
    <xf numFmtId="3" fontId="0" fillId="0" borderId="0" xfId="0" applyNumberFormat="1"/>
    <xf numFmtId="3" fontId="16" fillId="7" borderId="0" xfId="0" applyNumberFormat="1" applyFont="1" applyFill="1" applyAlignment="1" applyProtection="1">
      <alignment wrapText="1"/>
      <protection locked="0"/>
    </xf>
    <xf numFmtId="3" fontId="16" fillId="7" borderId="0" xfId="1" applyNumberFormat="1" applyFont="1" applyFill="1" applyBorder="1" applyAlignment="1">
      <alignment wrapText="1"/>
    </xf>
    <xf numFmtId="3" fontId="18" fillId="7" borderId="0" xfId="0" applyNumberFormat="1" applyFont="1" applyFill="1" applyAlignment="1" applyProtection="1">
      <alignment wrapText="1"/>
      <protection locked="0"/>
    </xf>
    <xf numFmtId="3" fontId="18" fillId="13" borderId="0" xfId="0" applyNumberFormat="1" applyFont="1" applyFill="1" applyAlignment="1" applyProtection="1">
      <alignment wrapText="1"/>
      <protection locked="0"/>
    </xf>
    <xf numFmtId="3" fontId="18" fillId="7" borderId="0" xfId="1" applyNumberFormat="1" applyFont="1" applyFill="1" applyBorder="1" applyAlignment="1">
      <alignment wrapText="1"/>
    </xf>
    <xf numFmtId="3" fontId="23" fillId="14" borderId="0" xfId="0" applyNumberFormat="1" applyFont="1" applyFill="1"/>
    <xf numFmtId="3" fontId="7" fillId="14" borderId="0" xfId="0" applyNumberFormat="1" applyFont="1" applyFill="1" applyAlignment="1" applyProtection="1">
      <alignment wrapText="1"/>
      <protection locked="0"/>
    </xf>
    <xf numFmtId="3" fontId="7" fillId="14" borderId="0" xfId="0" applyNumberFormat="1" applyFont="1" applyFill="1" applyAlignment="1">
      <alignment wrapText="1"/>
    </xf>
    <xf numFmtId="0" fontId="43" fillId="0" borderId="0" xfId="2"/>
    <xf numFmtId="0" fontId="18" fillId="7" borderId="0" xfId="0" applyFont="1" applyFill="1" applyAlignment="1" applyProtection="1">
      <alignment wrapText="1"/>
      <protection locked="0"/>
    </xf>
    <xf numFmtId="0" fontId="4" fillId="0" borderId="0" xfId="0" applyFont="1"/>
    <xf numFmtId="2" fontId="6" fillId="13" borderId="0" xfId="0" applyNumberFormat="1" applyFont="1" applyFill="1"/>
    <xf numFmtId="4" fontId="27" fillId="11" borderId="0" xfId="0" applyNumberFormat="1" applyFont="1" applyFill="1"/>
    <xf numFmtId="4" fontId="32" fillId="14" borderId="0" xfId="0" applyNumberFormat="1" applyFont="1" applyFill="1"/>
    <xf numFmtId="4" fontId="32" fillId="11" borderId="0" xfId="0" applyNumberFormat="1" applyFont="1" applyFill="1"/>
    <xf numFmtId="0" fontId="59" fillId="0" borderId="0" xfId="0" applyFont="1" applyAlignment="1">
      <alignment wrapText="1"/>
    </xf>
    <xf numFmtId="0" fontId="4" fillId="13" borderId="0" xfId="0" applyFont="1" applyFill="1"/>
    <xf numFmtId="0" fontId="59" fillId="13" borderId="0" xfId="0" applyFont="1" applyFill="1"/>
    <xf numFmtId="0" fontId="6" fillId="4" borderId="11" xfId="0" applyFont="1" applyFill="1" applyBorder="1"/>
    <xf numFmtId="0" fontId="6" fillId="4" borderId="12" xfId="0" applyFont="1" applyFill="1" applyBorder="1"/>
    <xf numFmtId="3" fontId="9" fillId="7" borderId="0" xfId="0" applyNumberFormat="1" applyFont="1" applyFill="1" applyProtection="1">
      <protection locked="0"/>
    </xf>
    <xf numFmtId="1" fontId="9" fillId="7" borderId="0" xfId="0" applyNumberFormat="1" applyFont="1" applyFill="1" applyProtection="1">
      <protection locked="0"/>
    </xf>
    <xf numFmtId="0" fontId="9" fillId="7" borderId="0" xfId="0" applyFont="1" applyFill="1" applyProtection="1">
      <protection locked="0"/>
    </xf>
    <xf numFmtId="0" fontId="9" fillId="7" borderId="4" xfId="0" applyFont="1" applyFill="1" applyBorder="1" applyProtection="1">
      <protection locked="0"/>
    </xf>
    <xf numFmtId="0" fontId="9" fillId="7" borderId="5" xfId="0" applyFont="1" applyFill="1" applyBorder="1" applyProtection="1">
      <protection locked="0"/>
    </xf>
    <xf numFmtId="0" fontId="6" fillId="7" borderId="0" xfId="0" applyFont="1" applyFill="1" applyProtection="1">
      <protection locked="0"/>
    </xf>
    <xf numFmtId="0" fontId="0" fillId="7" borderId="0" xfId="0" applyFill="1" applyProtection="1">
      <protection locked="0"/>
    </xf>
    <xf numFmtId="4" fontId="0" fillId="7" borderId="0" xfId="0" applyNumberFormat="1" applyFill="1" applyProtection="1">
      <protection locked="0"/>
    </xf>
    <xf numFmtId="4" fontId="6" fillId="7" borderId="0" xfId="0" applyNumberFormat="1" applyFont="1" applyFill="1" applyProtection="1">
      <protection locked="0"/>
    </xf>
    <xf numFmtId="0" fontId="16" fillId="7" borderId="0" xfId="1" applyFont="1" applyFill="1" applyBorder="1" applyAlignment="1" applyProtection="1">
      <alignment wrapText="1"/>
      <protection locked="0"/>
    </xf>
    <xf numFmtId="3" fontId="16" fillId="7" borderId="0" xfId="1" applyNumberFormat="1" applyFont="1" applyFill="1" applyBorder="1" applyAlignment="1" applyProtection="1">
      <alignment wrapText="1"/>
      <protection locked="0"/>
    </xf>
    <xf numFmtId="0" fontId="14" fillId="7" borderId="0" xfId="0" applyFont="1" applyFill="1" applyProtection="1">
      <protection locked="0"/>
    </xf>
    <xf numFmtId="3" fontId="14" fillId="7" borderId="0" xfId="0" applyNumberFormat="1" applyFont="1" applyFill="1" applyProtection="1">
      <protection locked="0"/>
    </xf>
    <xf numFmtId="0" fontId="16" fillId="9" borderId="0" xfId="0" applyFont="1" applyFill="1" applyAlignment="1">
      <alignment wrapText="1"/>
    </xf>
    <xf numFmtId="0" fontId="17" fillId="9" borderId="0" xfId="0" applyFont="1" applyFill="1" applyAlignment="1">
      <alignment wrapText="1"/>
    </xf>
    <xf numFmtId="0" fontId="9" fillId="9" borderId="0" xfId="0" applyFont="1" applyFill="1"/>
    <xf numFmtId="0" fontId="18" fillId="9" borderId="0" xfId="0" applyFont="1" applyFill="1" applyAlignment="1">
      <alignment wrapText="1"/>
    </xf>
    <xf numFmtId="3" fontId="36" fillId="13" borderId="0" xfId="0" applyNumberFormat="1" applyFont="1" applyFill="1" applyAlignment="1">
      <alignment wrapText="1"/>
    </xf>
    <xf numFmtId="3" fontId="18" fillId="13" borderId="0" xfId="0" applyNumberFormat="1" applyFont="1" applyFill="1" applyAlignment="1">
      <alignment wrapText="1"/>
    </xf>
    <xf numFmtId="0" fontId="36" fillId="13" borderId="0" xfId="0" applyFont="1" applyFill="1" applyAlignment="1">
      <alignment wrapText="1"/>
    </xf>
    <xf numFmtId="4" fontId="18" fillId="13" borderId="0" xfId="0" applyNumberFormat="1" applyFont="1" applyFill="1" applyAlignment="1">
      <alignment wrapText="1"/>
    </xf>
    <xf numFmtId="4" fontId="18" fillId="0" borderId="0" xfId="0" applyNumberFormat="1" applyFont="1" applyAlignment="1">
      <alignment wrapText="1"/>
    </xf>
    <xf numFmtId="0" fontId="16" fillId="4" borderId="0" xfId="1" applyFont="1" applyFill="1" applyBorder="1" applyAlignment="1" applyProtection="1">
      <alignment wrapText="1"/>
    </xf>
    <xf numFmtId="0" fontId="16" fillId="13" borderId="0" xfId="0" applyFont="1" applyFill="1" applyAlignment="1">
      <alignment wrapText="1"/>
    </xf>
    <xf numFmtId="3" fontId="16" fillId="13" borderId="0" xfId="0" applyNumberFormat="1" applyFont="1" applyFill="1" applyAlignment="1">
      <alignment wrapText="1"/>
    </xf>
    <xf numFmtId="9" fontId="16" fillId="13" borderId="0" xfId="0" applyNumberFormat="1" applyFont="1" applyFill="1" applyAlignment="1">
      <alignment wrapText="1"/>
    </xf>
    <xf numFmtId="9" fontId="17" fillId="13" borderId="0" xfId="0" applyNumberFormat="1" applyFont="1" applyFill="1" applyAlignment="1">
      <alignment wrapText="1"/>
    </xf>
    <xf numFmtId="3" fontId="17" fillId="13" borderId="0" xfId="0" applyNumberFormat="1" applyFont="1" applyFill="1" applyAlignment="1">
      <alignment wrapText="1"/>
    </xf>
    <xf numFmtId="4" fontId="17" fillId="0" borderId="0" xfId="0" applyNumberFormat="1" applyFont="1" applyAlignment="1">
      <alignment wrapText="1"/>
    </xf>
    <xf numFmtId="4" fontId="36" fillId="13" borderId="0" xfId="0" applyNumberFormat="1" applyFont="1" applyFill="1" applyAlignment="1">
      <alignment wrapText="1"/>
    </xf>
    <xf numFmtId="4" fontId="36" fillId="0" borderId="0" xfId="0" applyNumberFormat="1" applyFont="1" applyAlignment="1">
      <alignment wrapText="1"/>
    </xf>
    <xf numFmtId="1" fontId="18" fillId="13" borderId="0" xfId="0" applyNumberFormat="1" applyFont="1" applyFill="1" applyAlignment="1">
      <alignment wrapText="1"/>
    </xf>
    <xf numFmtId="4" fontId="16" fillId="13" borderId="0" xfId="0" applyNumberFormat="1" applyFont="1" applyFill="1" applyAlignment="1">
      <alignment wrapText="1"/>
    </xf>
    <xf numFmtId="3" fontId="6" fillId="7" borderId="0" xfId="0" applyNumberFormat="1" applyFont="1" applyFill="1" applyProtection="1">
      <protection locked="0"/>
    </xf>
    <xf numFmtId="0" fontId="29" fillId="8" borderId="0" xfId="0" applyFont="1" applyFill="1" applyAlignment="1">
      <alignment vertical="center" wrapText="1"/>
    </xf>
    <xf numFmtId="0" fontId="5" fillId="8" borderId="0" xfId="0" applyFont="1" applyFill="1" applyAlignment="1">
      <alignment vertical="center" wrapText="1"/>
    </xf>
    <xf numFmtId="0" fontId="31" fillId="5" borderId="0" xfId="0" applyFont="1" applyFill="1" applyAlignment="1">
      <alignment vertical="center" wrapText="1"/>
    </xf>
    <xf numFmtId="0" fontId="57" fillId="15" borderId="0" xfId="0" applyFont="1" applyFill="1"/>
    <xf numFmtId="0" fontId="58" fillId="0" borderId="0" xfId="0" applyFont="1"/>
    <xf numFmtId="0" fontId="51" fillId="0" borderId="0" xfId="0" applyFont="1" applyAlignment="1">
      <alignment vertical="center" wrapText="1"/>
    </xf>
    <xf numFmtId="0" fontId="6" fillId="0" borderId="0" xfId="0" applyFont="1" applyAlignment="1">
      <alignment vertical="center" wrapText="1"/>
    </xf>
    <xf numFmtId="0" fontId="5" fillId="8" borderId="0" xfId="0" applyFont="1" applyFill="1"/>
    <xf numFmtId="0" fontId="21" fillId="8" borderId="0" xfId="0" applyFont="1" applyFill="1"/>
    <xf numFmtId="0" fontId="33" fillId="5" borderId="0" xfId="0" applyFont="1" applyFill="1"/>
    <xf numFmtId="0" fontId="25" fillId="4" borderId="0" xfId="0" applyFont="1" applyFill="1"/>
    <xf numFmtId="0" fontId="26" fillId="0" borderId="0" xfId="0" applyFont="1"/>
    <xf numFmtId="0" fontId="0" fillId="0" borderId="0" xfId="0"/>
    <xf numFmtId="0" fontId="27" fillId="0" borderId="0" xfId="0" applyFont="1"/>
    <xf numFmtId="0" fontId="9" fillId="0" borderId="0" xfId="0" applyFont="1"/>
    <xf numFmtId="0" fontId="52" fillId="0" borderId="0" xfId="0" applyFont="1" applyAlignment="1">
      <alignment wrapText="1"/>
    </xf>
    <xf numFmtId="0" fontId="53" fillId="0" borderId="0" xfId="0" applyFont="1"/>
    <xf numFmtId="0" fontId="5" fillId="8" borderId="0" xfId="0" applyFont="1" applyFill="1" applyAlignment="1">
      <alignment horizontal="center"/>
    </xf>
    <xf numFmtId="0" fontId="23" fillId="15" borderId="0" xfId="0" applyFont="1" applyFill="1"/>
    <xf numFmtId="0" fontId="54" fillId="3" borderId="0" xfId="0" applyFont="1" applyFill="1" applyAlignment="1">
      <alignment horizontal="left"/>
    </xf>
    <xf numFmtId="0" fontId="55" fillId="3" borderId="0" xfId="0" applyFont="1" applyFill="1" applyAlignment="1">
      <alignment horizontal="left"/>
    </xf>
    <xf numFmtId="0" fontId="37" fillId="8" borderId="0" xfId="0" applyFont="1" applyFill="1" applyAlignment="1">
      <alignment horizontal="center"/>
    </xf>
    <xf numFmtId="0" fontId="45" fillId="8" borderId="0" xfId="0" applyFont="1" applyFill="1" applyAlignment="1">
      <alignment horizontal="center"/>
    </xf>
    <xf numFmtId="0" fontId="7" fillId="15" borderId="0" xfId="0" applyFont="1" applyFill="1" applyAlignment="1">
      <alignment wrapText="1"/>
    </xf>
    <xf numFmtId="0" fontId="7" fillId="15" borderId="0" xfId="0" applyFont="1" applyFill="1" applyAlignment="1" applyProtection="1">
      <alignment wrapText="1"/>
      <protection locked="0"/>
    </xf>
    <xf numFmtId="0" fontId="34" fillId="8" borderId="0" xfId="0" applyFont="1" applyFill="1" applyAlignment="1">
      <alignment horizontal="center" wrapText="1"/>
    </xf>
    <xf numFmtId="0" fontId="34" fillId="8" borderId="0" xfId="0" applyFont="1" applyFill="1" applyAlignment="1">
      <alignment horizontal="left" wrapText="1"/>
    </xf>
    <xf numFmtId="0" fontId="56" fillId="8" borderId="0" xfId="0" applyFont="1" applyFill="1" applyAlignment="1">
      <alignment horizontal="center" wrapText="1"/>
    </xf>
    <xf numFmtId="0" fontId="30" fillId="3" borderId="0" xfId="0" applyFont="1" applyFill="1" applyAlignment="1">
      <alignment horizontal="left"/>
    </xf>
    <xf numFmtId="0" fontId="6" fillId="3" borderId="0" xfId="0" applyFont="1" applyFill="1" applyAlignment="1">
      <alignment horizontal="left"/>
    </xf>
    <xf numFmtId="0" fontId="48" fillId="15" borderId="0" xfId="0" applyFont="1" applyFill="1" applyAlignment="1">
      <alignment wrapText="1"/>
    </xf>
    <xf numFmtId="0" fontId="48" fillId="15" borderId="0" xfId="0" applyFont="1" applyFill="1" applyAlignment="1" applyProtection="1">
      <alignment wrapText="1"/>
      <protection locked="0"/>
    </xf>
    <xf numFmtId="0" fontId="46" fillId="8" borderId="0" xfId="0" applyFont="1" applyFill="1" applyAlignment="1">
      <alignment horizontal="center" wrapText="1"/>
    </xf>
    <xf numFmtId="0" fontId="46" fillId="8" borderId="0" xfId="0" applyFont="1" applyFill="1" applyAlignment="1" applyProtection="1">
      <alignment horizontal="center" wrapText="1"/>
      <protection locked="0"/>
    </xf>
    <xf numFmtId="0" fontId="19" fillId="8" borderId="0" xfId="0" applyFont="1" applyFill="1"/>
    <xf numFmtId="0" fontId="20" fillId="8" borderId="0" xfId="0" applyFont="1" applyFill="1"/>
    <xf numFmtId="0" fontId="50" fillId="0" borderId="0" xfId="0" applyFont="1"/>
    <xf numFmtId="0" fontId="51" fillId="0" borderId="0" xfId="0" applyFont="1"/>
    <xf numFmtId="0" fontId="44" fillId="8" borderId="0" xfId="0" applyFont="1" applyFill="1"/>
    <xf numFmtId="0" fontId="47" fillId="8" borderId="0" xfId="0" applyFont="1" applyFill="1"/>
    <xf numFmtId="0" fontId="30" fillId="3" borderId="0" xfId="0" applyFont="1" applyFill="1"/>
    <xf numFmtId="0" fontId="27" fillId="3" borderId="0" xfId="0" applyFont="1" applyFill="1"/>
    <xf numFmtId="0" fontId="4" fillId="0" borderId="0" xfId="0" applyFont="1"/>
    <xf numFmtId="0" fontId="50" fillId="0" borderId="0" xfId="0" applyFont="1" applyAlignment="1">
      <alignment horizontal="center"/>
    </xf>
    <xf numFmtId="0" fontId="37" fillId="8" borderId="0" xfId="0" applyFont="1" applyFill="1" applyAlignment="1">
      <alignment horizontal="left"/>
    </xf>
    <xf numFmtId="0" fontId="19" fillId="8" borderId="0" xfId="0" applyFont="1" applyFill="1" applyAlignment="1">
      <alignment horizontal="left"/>
    </xf>
    <xf numFmtId="0" fontId="42" fillId="8" borderId="0" xfId="0" applyFont="1" applyFill="1" applyAlignment="1">
      <alignment horizontal="left"/>
    </xf>
    <xf numFmtId="0" fontId="23" fillId="5" borderId="0" xfId="0" applyFont="1" applyFill="1"/>
    <xf numFmtId="0" fontId="23" fillId="5" borderId="0" xfId="0" applyFont="1" applyFill="1" applyAlignment="1">
      <alignment wrapText="1"/>
    </xf>
    <xf numFmtId="0" fontId="23" fillId="5" borderId="0" xfId="0" applyFont="1" applyFill="1" applyAlignment="1">
      <alignment horizontal="center"/>
    </xf>
    <xf numFmtId="0" fontId="23" fillId="4" borderId="0" xfId="0" applyFont="1" applyFill="1"/>
    <xf numFmtId="0" fontId="23" fillId="4" borderId="0" xfId="0" applyFont="1" applyFill="1" applyAlignment="1">
      <alignment wrapText="1"/>
    </xf>
    <xf numFmtId="0" fontId="24" fillId="4" borderId="0" xfId="0" applyFont="1" applyFill="1"/>
    <xf numFmtId="0" fontId="6" fillId="4" borderId="0" xfId="0" applyFont="1" applyFill="1"/>
    <xf numFmtId="0" fontId="6" fillId="4" borderId="0" xfId="0" applyFont="1" applyFill="1" applyAlignment="1">
      <alignment wrapText="1"/>
    </xf>
    <xf numFmtId="0" fontId="6" fillId="0" borderId="0" xfId="0" applyFont="1"/>
  </cellXfs>
  <cellStyles count="3">
    <cellStyle name="Hyperlink" xfId="2" builtinId="8"/>
    <cellStyle name="Normal" xfId="0" builtinId="0"/>
    <cellStyle name="Output" xfId="1" builtinId="21"/>
  </cellStyles>
  <dxfs count="0"/>
  <tableStyles count="0" defaultTableStyle="TableStyleMedium2" defaultPivotStyle="PivotStyleLight16"/>
  <colors>
    <mruColors>
      <color rgb="FFD8E8FC"/>
      <color rgb="FF083266"/>
      <color rgb="FFF0F0F0"/>
      <color rgb="FFD3D3D3"/>
      <color rgb="FFC0C0C0"/>
      <color rgb="FFE0E0E0"/>
      <color rgb="FF29C3EC"/>
      <color rgb="FF333333"/>
      <color rgb="FFD1F6FF"/>
      <color rgb="FFC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SUP Weight: Garbage vs Recycling - Year 1 (kg)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Garbage</c:v>
          </c:tx>
          <c:spPr>
            <a:solidFill>
              <a:schemeClr val="accent1"/>
            </a:solidFill>
            <a:ln>
              <a:noFill/>
            </a:ln>
            <a:effectLst/>
          </c:spPr>
          <c:invertIfNegative val="0"/>
          <c:cat>
            <c:strRef>
              <c:f>Residential!$A$15:$A$25</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Residential!$D$15:$D$25</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2129-420E-B821-7F075A6C7999}"/>
            </c:ext>
          </c:extLst>
        </c:ser>
        <c:ser>
          <c:idx val="1"/>
          <c:order val="1"/>
          <c:tx>
            <c:v>Recycling</c:v>
          </c:tx>
          <c:spPr>
            <a:solidFill>
              <a:schemeClr val="accent2"/>
            </a:solidFill>
            <a:ln>
              <a:noFill/>
            </a:ln>
            <a:effectLst/>
          </c:spPr>
          <c:invertIfNegative val="0"/>
          <c:val>
            <c:numRef>
              <c:f>Residential!$D$56:$D$66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2129-420E-B821-7F075A6C7999}"/>
            </c:ext>
          </c:extLst>
        </c:ser>
        <c:dLbls>
          <c:showLegendKey val="0"/>
          <c:showVal val="0"/>
          <c:showCatName val="0"/>
          <c:showSerName val="0"/>
          <c:showPercent val="0"/>
          <c:showBubbleSize val="0"/>
        </c:dLbls>
        <c:gapWidth val="182"/>
        <c:axId val="439715712"/>
        <c:axId val="439701312"/>
      </c:barChart>
      <c:catAx>
        <c:axId val="439715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701312"/>
        <c:crosses val="autoZero"/>
        <c:auto val="1"/>
        <c:lblAlgn val="ctr"/>
        <c:lblOffset val="100"/>
        <c:noMultiLvlLbl val="0"/>
      </c:catAx>
      <c:valAx>
        <c:axId val="439701312"/>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71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SUP Cost: Year 1 vs Year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Year 1</c:v>
          </c:tx>
          <c:spPr>
            <a:solidFill>
              <a:schemeClr val="accent1"/>
            </a:solidFill>
            <a:ln>
              <a:noFill/>
            </a:ln>
            <a:effectLst/>
          </c:spPr>
          <c:invertIfNegative val="0"/>
          <c:cat>
            <c:strRef>
              <c:f>Wastewater!$A$12:$A$22</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Wastewater!$G$12:$G$22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864-4133-8584-BA54E1634382}"/>
            </c:ext>
          </c:extLst>
        </c:ser>
        <c:ser>
          <c:idx val="1"/>
          <c:order val="1"/>
          <c:tx>
            <c:v>Year 2</c:v>
          </c:tx>
          <c:spPr>
            <a:solidFill>
              <a:schemeClr val="accent2"/>
            </a:solidFill>
            <a:ln>
              <a:noFill/>
            </a:ln>
            <a:effectLst/>
          </c:spPr>
          <c:invertIfNegative val="0"/>
          <c:val>
            <c:numRef>
              <c:f>Wastewater!$O$12:$O$22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B864-4133-8584-BA54E1634382}"/>
            </c:ext>
          </c:extLst>
        </c:ser>
        <c:dLbls>
          <c:showLegendKey val="0"/>
          <c:showVal val="0"/>
          <c:showCatName val="0"/>
          <c:showSerName val="0"/>
          <c:showPercent val="0"/>
          <c:showBubbleSize val="0"/>
        </c:dLbls>
        <c:gapWidth val="182"/>
        <c:axId val="338875408"/>
        <c:axId val="338860528"/>
      </c:barChart>
      <c:catAx>
        <c:axId val="3388754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8860528"/>
        <c:crosses val="autoZero"/>
        <c:auto val="1"/>
        <c:lblAlgn val="ctr"/>
        <c:lblOffset val="100"/>
        <c:noMultiLvlLbl val="0"/>
      </c:catAx>
      <c:valAx>
        <c:axId val="338860528"/>
        <c:scaling>
          <c:orientation val="minMax"/>
        </c:scaling>
        <c:delete val="0"/>
        <c:axPos val="b"/>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8875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SUP Cost by Stream - Year 1</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v>Res.Garb</c:v>
          </c:tx>
          <c:spPr>
            <a:solidFill>
              <a:schemeClr val="accent1"/>
            </a:solidFill>
            <a:ln>
              <a:noFill/>
            </a:ln>
            <a:effectLst/>
          </c:spPr>
          <c:invertIfNegative val="0"/>
          <c:cat>
            <c:strRef>
              <c:f>Summary!$A$22:$A$32</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Summary!$B$22:$B$32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9D86-4158-8416-EEDCADF6337C}"/>
            </c:ext>
          </c:extLst>
        </c:ser>
        <c:ser>
          <c:idx val="1"/>
          <c:order val="1"/>
          <c:tx>
            <c:v>Res.Rec</c:v>
          </c:tx>
          <c:spPr>
            <a:solidFill>
              <a:schemeClr val="accent2"/>
            </a:solidFill>
            <a:ln>
              <a:noFill/>
            </a:ln>
            <a:effectLst/>
          </c:spPr>
          <c:invertIfNegative val="0"/>
          <c:cat>
            <c:strRef>
              <c:f>Summary!$A$22:$A$32</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Summary!$C$22:$C$32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9D86-4158-8416-EEDCADF6337C}"/>
            </c:ext>
          </c:extLst>
        </c:ser>
        <c:ser>
          <c:idx val="2"/>
          <c:order val="2"/>
          <c:tx>
            <c:v>Com/Ind.Garb</c:v>
          </c:tx>
          <c:spPr>
            <a:solidFill>
              <a:schemeClr val="accent3"/>
            </a:solidFill>
            <a:ln>
              <a:noFill/>
            </a:ln>
            <a:effectLst/>
          </c:spPr>
          <c:invertIfNegative val="0"/>
          <c:cat>
            <c:strRef>
              <c:f>Summary!$A$22:$A$32</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Summary!$D$22:$D$32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9D86-4158-8416-EEDCADF6337C}"/>
            </c:ext>
          </c:extLst>
        </c:ser>
        <c:ser>
          <c:idx val="3"/>
          <c:order val="3"/>
          <c:tx>
            <c:v>Com/Ind.Rec</c:v>
          </c:tx>
          <c:spPr>
            <a:solidFill>
              <a:schemeClr val="accent4"/>
            </a:solidFill>
            <a:ln>
              <a:noFill/>
            </a:ln>
            <a:effectLst/>
          </c:spPr>
          <c:invertIfNegative val="0"/>
          <c:cat>
            <c:strRef>
              <c:f>Summary!$A$22:$A$32</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Summary!$E$22:$E$32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9D86-4158-8416-EEDCADF6337C}"/>
            </c:ext>
          </c:extLst>
        </c:ser>
        <c:ser>
          <c:idx val="4"/>
          <c:order val="4"/>
          <c:tx>
            <c:v>Wastewater</c:v>
          </c:tx>
          <c:spPr>
            <a:solidFill>
              <a:schemeClr val="accent5"/>
            </a:solidFill>
            <a:ln>
              <a:noFill/>
            </a:ln>
            <a:effectLst/>
          </c:spPr>
          <c:invertIfNegative val="0"/>
          <c:cat>
            <c:strRef>
              <c:f>Summary!$A$22:$A$32</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Summary!$F$22:$F$32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9D86-4158-8416-EEDCADF6337C}"/>
            </c:ext>
          </c:extLst>
        </c:ser>
        <c:dLbls>
          <c:showLegendKey val="0"/>
          <c:showVal val="0"/>
          <c:showCatName val="0"/>
          <c:showSerName val="0"/>
          <c:showPercent val="0"/>
          <c:showBubbleSize val="0"/>
        </c:dLbls>
        <c:gapWidth val="150"/>
        <c:overlap val="100"/>
        <c:axId val="626376176"/>
        <c:axId val="626376656"/>
      </c:barChart>
      <c:catAx>
        <c:axId val="6263761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SUP Item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6376656"/>
        <c:crosses val="autoZero"/>
        <c:auto val="1"/>
        <c:lblAlgn val="ctr"/>
        <c:lblOffset val="100"/>
        <c:noMultiLvlLbl val="0"/>
      </c:catAx>
      <c:valAx>
        <c:axId val="62637665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Cost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6376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SUP Cost by Stream - Year 2</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v>Res.Garb</c:v>
          </c:tx>
          <c:spPr>
            <a:solidFill>
              <a:schemeClr val="accent1"/>
            </a:solidFill>
            <a:ln>
              <a:noFill/>
            </a:ln>
            <a:effectLst/>
          </c:spPr>
          <c:invertIfNegative val="0"/>
          <c:cat>
            <c:strRef>
              <c:f>Summary!$A$6:$A$16</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Summary!$J$22:$J$32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479-46B3-8E77-EE227908BD03}"/>
            </c:ext>
          </c:extLst>
        </c:ser>
        <c:ser>
          <c:idx val="1"/>
          <c:order val="1"/>
          <c:tx>
            <c:v>Res.Rec</c:v>
          </c:tx>
          <c:spPr>
            <a:solidFill>
              <a:schemeClr val="accent2"/>
            </a:solidFill>
            <a:ln>
              <a:noFill/>
            </a:ln>
            <a:effectLst/>
          </c:spPr>
          <c:invertIfNegative val="0"/>
          <c:cat>
            <c:strRef>
              <c:f>Summary!$A$6:$A$16</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Summary!$K$22:$K$32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0479-46B3-8E77-EE227908BD03}"/>
            </c:ext>
          </c:extLst>
        </c:ser>
        <c:ser>
          <c:idx val="2"/>
          <c:order val="2"/>
          <c:tx>
            <c:v>Com/Ind.Garb</c:v>
          </c:tx>
          <c:spPr>
            <a:solidFill>
              <a:schemeClr val="accent3"/>
            </a:solidFill>
            <a:ln>
              <a:noFill/>
            </a:ln>
            <a:effectLst/>
          </c:spPr>
          <c:invertIfNegative val="0"/>
          <c:cat>
            <c:strRef>
              <c:f>Summary!$A$6:$A$16</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Summary!$L$22:$L$32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0479-46B3-8E77-EE227908BD03}"/>
            </c:ext>
          </c:extLst>
        </c:ser>
        <c:ser>
          <c:idx val="3"/>
          <c:order val="3"/>
          <c:tx>
            <c:v>Com/Ind.Rec</c:v>
          </c:tx>
          <c:spPr>
            <a:solidFill>
              <a:schemeClr val="accent4"/>
            </a:solidFill>
            <a:ln>
              <a:noFill/>
            </a:ln>
            <a:effectLst/>
          </c:spPr>
          <c:invertIfNegative val="0"/>
          <c:cat>
            <c:strRef>
              <c:f>Summary!$A$6:$A$16</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Summary!$M$22:$M$32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0479-46B3-8E77-EE227908BD03}"/>
            </c:ext>
          </c:extLst>
        </c:ser>
        <c:ser>
          <c:idx val="4"/>
          <c:order val="4"/>
          <c:tx>
            <c:v>Wastewater</c:v>
          </c:tx>
          <c:spPr>
            <a:solidFill>
              <a:schemeClr val="accent5"/>
            </a:solidFill>
            <a:ln>
              <a:noFill/>
            </a:ln>
            <a:effectLst/>
          </c:spPr>
          <c:invertIfNegative val="0"/>
          <c:cat>
            <c:strRef>
              <c:f>Summary!$A$6:$A$16</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Summary!$N$22:$N$32</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0479-46B3-8E77-EE227908BD03}"/>
            </c:ext>
          </c:extLst>
        </c:ser>
        <c:dLbls>
          <c:showLegendKey val="0"/>
          <c:showVal val="0"/>
          <c:showCatName val="0"/>
          <c:showSerName val="0"/>
          <c:showPercent val="0"/>
          <c:showBubbleSize val="0"/>
        </c:dLbls>
        <c:gapWidth val="150"/>
        <c:overlap val="100"/>
        <c:axId val="439702752"/>
        <c:axId val="439703232"/>
      </c:barChart>
      <c:catAx>
        <c:axId val="439702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SUP Item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703232"/>
        <c:crosses val="autoZero"/>
        <c:auto val="1"/>
        <c:lblAlgn val="ctr"/>
        <c:lblOffset val="100"/>
        <c:noMultiLvlLbl val="0"/>
      </c:catAx>
      <c:valAx>
        <c:axId val="4397032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Cost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702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SUP Weight by Stream (kg) - Year 1</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v>Res.Garb</c:v>
          </c:tx>
          <c:spPr>
            <a:solidFill>
              <a:schemeClr val="accent1"/>
            </a:solidFill>
            <a:ln>
              <a:noFill/>
            </a:ln>
            <a:effectLst/>
          </c:spPr>
          <c:invertIfNegative val="0"/>
          <c:cat>
            <c:strRef>
              <c:f>Summary!$A$6:$A$16</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Summary!$B$6:$B$16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32ED-476F-A9D1-A6347F340EA2}"/>
            </c:ext>
          </c:extLst>
        </c:ser>
        <c:ser>
          <c:idx val="1"/>
          <c:order val="1"/>
          <c:tx>
            <c:v>Res.Rec</c:v>
          </c:tx>
          <c:spPr>
            <a:solidFill>
              <a:schemeClr val="accent2"/>
            </a:solidFill>
            <a:ln>
              <a:noFill/>
            </a:ln>
            <a:effectLst/>
          </c:spPr>
          <c:invertIfNegative val="0"/>
          <c:cat>
            <c:strRef>
              <c:f>Summary!$A$6:$A$16</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Summary!$C$6:$C$16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32ED-476F-A9D1-A6347F340EA2}"/>
            </c:ext>
          </c:extLst>
        </c:ser>
        <c:ser>
          <c:idx val="2"/>
          <c:order val="2"/>
          <c:tx>
            <c:v>Com/Ind.Garb</c:v>
          </c:tx>
          <c:spPr>
            <a:solidFill>
              <a:schemeClr val="accent3"/>
            </a:solidFill>
            <a:ln>
              <a:noFill/>
            </a:ln>
            <a:effectLst/>
          </c:spPr>
          <c:invertIfNegative val="0"/>
          <c:cat>
            <c:strRef>
              <c:f>Summary!$A$6:$A$16</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Summary!$D$6:$D$16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32ED-476F-A9D1-A6347F340EA2}"/>
            </c:ext>
          </c:extLst>
        </c:ser>
        <c:ser>
          <c:idx val="3"/>
          <c:order val="3"/>
          <c:tx>
            <c:v>Com/Ind.Rec</c:v>
          </c:tx>
          <c:spPr>
            <a:solidFill>
              <a:schemeClr val="accent4"/>
            </a:solidFill>
            <a:ln>
              <a:noFill/>
            </a:ln>
            <a:effectLst/>
          </c:spPr>
          <c:invertIfNegative val="0"/>
          <c:cat>
            <c:strRef>
              <c:f>Summary!$A$6:$A$16</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Summary!$E$6:$E$16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32ED-476F-A9D1-A6347F340EA2}"/>
            </c:ext>
          </c:extLst>
        </c:ser>
        <c:ser>
          <c:idx val="4"/>
          <c:order val="4"/>
          <c:tx>
            <c:v>Wastewater</c:v>
          </c:tx>
          <c:spPr>
            <a:solidFill>
              <a:schemeClr val="accent5"/>
            </a:solidFill>
            <a:ln>
              <a:noFill/>
            </a:ln>
            <a:effectLst/>
          </c:spPr>
          <c:invertIfNegative val="0"/>
          <c:cat>
            <c:strRef>
              <c:f>Summary!$A$6:$A$16</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Summary!$F$6:$F$16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32ED-476F-A9D1-A6347F340EA2}"/>
            </c:ext>
          </c:extLst>
        </c:ser>
        <c:dLbls>
          <c:showLegendKey val="0"/>
          <c:showVal val="0"/>
          <c:showCatName val="0"/>
          <c:showSerName val="0"/>
          <c:showPercent val="0"/>
          <c:showBubbleSize val="0"/>
        </c:dLbls>
        <c:gapWidth val="150"/>
        <c:overlap val="100"/>
        <c:axId val="937009920"/>
        <c:axId val="937010880"/>
      </c:barChart>
      <c:catAx>
        <c:axId val="9370099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SUP Item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7010880"/>
        <c:crosses val="autoZero"/>
        <c:auto val="1"/>
        <c:lblAlgn val="ctr"/>
        <c:lblOffset val="100"/>
        <c:noMultiLvlLbl val="0"/>
      </c:catAx>
      <c:valAx>
        <c:axId val="9370108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Weight (kg)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7009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SUP Weight by Stream (kg) - Year 2</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v>Res.Garb</c:v>
          </c:tx>
          <c:spPr>
            <a:solidFill>
              <a:schemeClr val="accent1"/>
            </a:solidFill>
            <a:ln>
              <a:noFill/>
            </a:ln>
            <a:effectLst/>
          </c:spPr>
          <c:invertIfNegative val="0"/>
          <c:cat>
            <c:strRef>
              <c:f>Summary!$A$22:$A$32</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Summary!$J$6:$J$16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B1E8-4549-8BB9-784F4DB62191}"/>
            </c:ext>
          </c:extLst>
        </c:ser>
        <c:ser>
          <c:idx val="1"/>
          <c:order val="1"/>
          <c:tx>
            <c:v>Res.Rec</c:v>
          </c:tx>
          <c:spPr>
            <a:solidFill>
              <a:schemeClr val="accent2"/>
            </a:solidFill>
            <a:ln>
              <a:noFill/>
            </a:ln>
            <a:effectLst/>
          </c:spPr>
          <c:invertIfNegative val="0"/>
          <c:cat>
            <c:strRef>
              <c:f>Summary!$A$22:$A$32</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Summary!$K$6:$K$16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1E8-4549-8BB9-784F4DB62191}"/>
            </c:ext>
          </c:extLst>
        </c:ser>
        <c:ser>
          <c:idx val="2"/>
          <c:order val="2"/>
          <c:tx>
            <c:v>Com/Ind.Garb</c:v>
          </c:tx>
          <c:spPr>
            <a:solidFill>
              <a:schemeClr val="accent3"/>
            </a:solidFill>
            <a:ln>
              <a:noFill/>
            </a:ln>
            <a:effectLst/>
          </c:spPr>
          <c:invertIfNegative val="0"/>
          <c:cat>
            <c:strRef>
              <c:f>Summary!$A$22:$A$32</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Summary!$L$6:$L$16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B1E8-4549-8BB9-784F4DB62191}"/>
            </c:ext>
          </c:extLst>
        </c:ser>
        <c:ser>
          <c:idx val="3"/>
          <c:order val="3"/>
          <c:tx>
            <c:v>Com/Ind.Rec</c:v>
          </c:tx>
          <c:spPr>
            <a:solidFill>
              <a:schemeClr val="accent4"/>
            </a:solidFill>
            <a:ln>
              <a:noFill/>
            </a:ln>
            <a:effectLst/>
          </c:spPr>
          <c:invertIfNegative val="0"/>
          <c:cat>
            <c:strRef>
              <c:f>Summary!$A$22:$A$32</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Summary!$M$6:$M$16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B1E8-4549-8BB9-784F4DB62191}"/>
            </c:ext>
          </c:extLst>
        </c:ser>
        <c:ser>
          <c:idx val="4"/>
          <c:order val="4"/>
          <c:tx>
            <c:v>Wastewater</c:v>
          </c:tx>
          <c:spPr>
            <a:solidFill>
              <a:schemeClr val="accent5"/>
            </a:solidFill>
            <a:ln>
              <a:noFill/>
            </a:ln>
            <a:effectLst/>
          </c:spPr>
          <c:invertIfNegative val="0"/>
          <c:cat>
            <c:strRef>
              <c:f>Summary!$A$22:$A$32</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Summary!$N$6:$N$16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B1E8-4549-8BB9-784F4DB62191}"/>
            </c:ext>
          </c:extLst>
        </c:ser>
        <c:dLbls>
          <c:showLegendKey val="0"/>
          <c:showVal val="0"/>
          <c:showCatName val="0"/>
          <c:showSerName val="0"/>
          <c:showPercent val="0"/>
          <c:showBubbleSize val="0"/>
        </c:dLbls>
        <c:gapWidth val="150"/>
        <c:overlap val="100"/>
        <c:axId val="1522486144"/>
        <c:axId val="1522470304"/>
      </c:barChart>
      <c:catAx>
        <c:axId val="15224861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SUP Item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2470304"/>
        <c:crosses val="autoZero"/>
        <c:auto val="1"/>
        <c:lblAlgn val="ctr"/>
        <c:lblOffset val="100"/>
        <c:noMultiLvlLbl val="0"/>
      </c:catAx>
      <c:valAx>
        <c:axId val="15224703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Weight (kg)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2486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Per Capita Weight (kg) - Year 1</c:v>
          </c:tx>
          <c:spPr>
            <a:solidFill>
              <a:schemeClr val="accent1"/>
            </a:solidFill>
            <a:ln>
              <a:noFill/>
            </a:ln>
            <a:effectLst/>
          </c:spPr>
          <c:invertIfNegative val="0"/>
          <c:cat>
            <c:strRef>
              <c:f>Summary!$A$6:$A$16</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Summary!$H$6:$H$16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68CF-40A4-B7CA-50DEE83F0962}"/>
            </c:ext>
          </c:extLst>
        </c:ser>
        <c:dLbls>
          <c:showLegendKey val="0"/>
          <c:showVal val="0"/>
          <c:showCatName val="0"/>
          <c:showSerName val="0"/>
          <c:showPercent val="0"/>
          <c:showBubbleSize val="0"/>
        </c:dLbls>
        <c:gapWidth val="182"/>
        <c:axId val="1457607392"/>
        <c:axId val="1457607872"/>
      </c:barChart>
      <c:catAx>
        <c:axId val="1457607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7607872"/>
        <c:crosses val="autoZero"/>
        <c:auto val="1"/>
        <c:lblAlgn val="ctr"/>
        <c:lblOffset val="100"/>
        <c:noMultiLvlLbl val="0"/>
      </c:catAx>
      <c:valAx>
        <c:axId val="1457607872"/>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76073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i="0" u="none" strike="noStrike" kern="1200" spc="0" baseline="0">
                <a:solidFill>
                  <a:sysClr val="windowText" lastClr="000000">
                    <a:lumMod val="65000"/>
                    <a:lumOff val="35000"/>
                  </a:sysClr>
                </a:solidFill>
              </a:rPr>
              <a:t>Per Capita Weight (kg) - Year 2</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Summary!$A$6:$A$16</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Summary!$P$6:$P$16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6B3-4F38-BDD2-210CD5A250DE}"/>
            </c:ext>
          </c:extLst>
        </c:ser>
        <c:dLbls>
          <c:showLegendKey val="0"/>
          <c:showVal val="0"/>
          <c:showCatName val="0"/>
          <c:showSerName val="0"/>
          <c:showPercent val="0"/>
          <c:showBubbleSize val="0"/>
        </c:dLbls>
        <c:gapWidth val="182"/>
        <c:axId val="1457607392"/>
        <c:axId val="1457607872"/>
      </c:barChart>
      <c:catAx>
        <c:axId val="1457607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7607872"/>
        <c:crosses val="autoZero"/>
        <c:auto val="1"/>
        <c:lblAlgn val="ctr"/>
        <c:lblOffset val="100"/>
        <c:noMultiLvlLbl val="0"/>
      </c:catAx>
      <c:valAx>
        <c:axId val="1457607872"/>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76073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Summary!$A$25</c:f>
              <c:strCache>
                <c:ptCount val="1"/>
                <c:pt idx="0">
                  <c:v>Vaping devices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10-DD43-4197-8A1C-CCFC5B6EE272}"/>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C-DD43-4197-8A1C-CCFC5B6EE272}"/>
              </c:ext>
            </c:extLst>
          </c:dPt>
          <c:dPt>
            <c:idx val="2"/>
            <c:bubble3D val="0"/>
            <c:spPr>
              <a:solidFill>
                <a:schemeClr val="accent1"/>
              </a:solidFill>
              <a:ln>
                <a:noFill/>
              </a:ln>
              <a:effectLst/>
            </c:spPr>
            <c:extLst>
              <c:ext xmlns:c16="http://schemas.microsoft.com/office/drawing/2014/chart" uri="{C3380CC4-5D6E-409C-BE32-E72D297353CC}">
                <c16:uniqueId val="{0000000F-DD43-4197-8A1C-CCFC5B6EE272}"/>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E-DD43-4197-8A1C-CCFC5B6EE272}"/>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D-DD43-4197-8A1C-CCFC5B6EE272}"/>
              </c:ext>
            </c:extLst>
          </c:dPt>
          <c:dLbls>
            <c:dLbl>
              <c:idx val="1"/>
              <c:layout>
                <c:manualLayout>
                  <c:x val="-6.2746573000645275E-2"/>
                  <c:y val="-4.631782465715462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D43-4197-8A1C-CCFC5B6EE272}"/>
                </c:ext>
              </c:extLst>
            </c:dLbl>
            <c:dLbl>
              <c:idx val="2"/>
              <c:layout>
                <c:manualLayout>
                  <c:x val="-0.14003991630319174"/>
                  <c:y val="-0.1953368770788286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D43-4197-8A1C-CCFC5B6EE272}"/>
                </c:ext>
              </c:extLst>
            </c:dLbl>
            <c:dLbl>
              <c:idx val="3"/>
              <c:layout>
                <c:manualLayout>
                  <c:x val="-6.5433755720418957E-2"/>
                  <c:y val="-0.360948482330070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D43-4197-8A1C-CCFC5B6EE272}"/>
                </c:ext>
              </c:extLst>
            </c:dLbl>
            <c:dLbl>
              <c:idx val="4"/>
              <c:layout>
                <c:manualLayout>
                  <c:x val="0.34281205575977802"/>
                  <c:y val="0.2426741849805311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D43-4197-8A1C-CCFC5B6EE272}"/>
                </c:ext>
              </c:extLst>
            </c:dLbl>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Summary!$B$21:$F$21</c:f>
              <c:strCache>
                <c:ptCount val="5"/>
                <c:pt idx="0">
                  <c:v>Res. Garbage</c:v>
                </c:pt>
                <c:pt idx="1">
                  <c:v>Res. Recycling</c:v>
                </c:pt>
                <c:pt idx="2">
                  <c:v>Com. Garbage</c:v>
                </c:pt>
                <c:pt idx="3">
                  <c:v>Com. Recycling</c:v>
                </c:pt>
                <c:pt idx="4">
                  <c:v>Wastewater</c:v>
                </c:pt>
              </c:strCache>
            </c:strRef>
          </c:cat>
          <c:val>
            <c:numRef>
              <c:f>Summary!$B$25:$F$25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DD43-4197-8A1C-CCFC5B6EE272}"/>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Summary!$A$26</c:f>
              <c:strCache>
                <c:ptCount val="1"/>
                <c:pt idx="0">
                  <c:v>Bottle caps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D-4C69-4C6D-804C-0A626E49FE9F}"/>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F-4C69-4C6D-804C-0A626E49FE9F}"/>
              </c:ext>
            </c:extLst>
          </c:dPt>
          <c:dPt>
            <c:idx val="2"/>
            <c:bubble3D val="0"/>
            <c:spPr>
              <a:solidFill>
                <a:schemeClr val="accent1"/>
              </a:solidFill>
              <a:ln>
                <a:noFill/>
              </a:ln>
              <a:effectLst/>
            </c:spPr>
            <c:extLst>
              <c:ext xmlns:c16="http://schemas.microsoft.com/office/drawing/2014/chart" uri="{C3380CC4-5D6E-409C-BE32-E72D297353CC}">
                <c16:uniqueId val="{0000000E-4C69-4C6D-804C-0A626E49FE9F}"/>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10-4C69-4C6D-804C-0A626E49FE9F}"/>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C-4C69-4C6D-804C-0A626E49FE9F}"/>
              </c:ext>
            </c:extLst>
          </c:dPt>
          <c:dLbls>
            <c:dLbl>
              <c:idx val="0"/>
              <c:layout>
                <c:manualLayout>
                  <c:x val="-0.35560190927199609"/>
                  <c:y val="0.1939601360597855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4C69-4C6D-804C-0A626E49FE9F}"/>
                </c:ext>
              </c:extLst>
            </c:dLbl>
            <c:dLbl>
              <c:idx val="1"/>
              <c:layout>
                <c:manualLayout>
                  <c:x val="0.1264892697410456"/>
                  <c:y val="-3.612634549302505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C69-4C6D-804C-0A626E49FE9F}"/>
                </c:ext>
              </c:extLst>
            </c:dLbl>
            <c:dLbl>
              <c:idx val="2"/>
              <c:layout>
                <c:manualLayout>
                  <c:x val="0.20524673957980982"/>
                  <c:y val="0.1264422092255876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C69-4C6D-804C-0A626E49FE9F}"/>
                </c:ext>
              </c:extLst>
            </c:dLbl>
            <c:dLbl>
              <c:idx val="3"/>
              <c:layout>
                <c:manualLayout>
                  <c:x val="0.2004735595895816"/>
                  <c:y val="-7.676848417267824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4C69-4C6D-804C-0A626E49FE9F}"/>
                </c:ext>
              </c:extLst>
            </c:dLbl>
            <c:dLbl>
              <c:idx val="4"/>
              <c:layout>
                <c:manualLayout>
                  <c:x val="-0.29832374938925849"/>
                  <c:y val="4.510700838599655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4C69-4C6D-804C-0A626E49FE9F}"/>
                </c:ext>
              </c:extLst>
            </c:dLbl>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Summary!$B$21:$F$21</c:f>
              <c:strCache>
                <c:ptCount val="5"/>
                <c:pt idx="0">
                  <c:v>Res. Garbage</c:v>
                </c:pt>
                <c:pt idx="1">
                  <c:v>Res. Recycling</c:v>
                </c:pt>
                <c:pt idx="2">
                  <c:v>Com. Garbage</c:v>
                </c:pt>
                <c:pt idx="3">
                  <c:v>Com. Recycling</c:v>
                </c:pt>
                <c:pt idx="4">
                  <c:v>Wastewater</c:v>
                </c:pt>
              </c:strCache>
            </c:strRef>
          </c:cat>
          <c:val>
            <c:numRef>
              <c:f>Summary!$B$26:$F$26</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4C69-4C6D-804C-0A626E49FE9F}"/>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Summary!$A$28</c:f>
              <c:strCache>
                <c:ptCount val="1"/>
                <c:pt idx="0">
                  <c:v>Foam trays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9B37-4B45-985D-E697042A5CBB}"/>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9B37-4B45-985D-E697042A5CBB}"/>
              </c:ext>
            </c:extLst>
          </c:dPt>
          <c:dPt>
            <c:idx val="2"/>
            <c:bubble3D val="0"/>
            <c:spPr>
              <a:solidFill>
                <a:schemeClr val="accent1"/>
              </a:solidFill>
              <a:ln>
                <a:noFill/>
              </a:ln>
              <a:effectLst/>
            </c:spPr>
            <c:extLst>
              <c:ext xmlns:c16="http://schemas.microsoft.com/office/drawing/2014/chart" uri="{C3380CC4-5D6E-409C-BE32-E72D297353CC}">
                <c16:uniqueId val="{00000005-9B37-4B45-985D-E697042A5CBB}"/>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9B37-4B45-985D-E697042A5CBB}"/>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9B37-4B45-985D-E697042A5CBB}"/>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Summary!$B$21:$F$21</c:f>
              <c:strCache>
                <c:ptCount val="5"/>
                <c:pt idx="0">
                  <c:v>Res. Garbage</c:v>
                </c:pt>
                <c:pt idx="1">
                  <c:v>Res. Recycling</c:v>
                </c:pt>
                <c:pt idx="2">
                  <c:v>Com. Garbage</c:v>
                </c:pt>
                <c:pt idx="3">
                  <c:v>Com. Recycling</c:v>
                </c:pt>
                <c:pt idx="4">
                  <c:v>Wastewater</c:v>
                </c:pt>
              </c:strCache>
            </c:strRef>
          </c:cat>
          <c:val>
            <c:numRef>
              <c:f>Summary!$B$28:$F$28</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C0A5-4825-97F8-B1E0E456FE8E}"/>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SUP Cost: Garbage vs Recycling - Year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Garbage</c:v>
          </c:tx>
          <c:spPr>
            <a:solidFill>
              <a:schemeClr val="accent1"/>
            </a:solidFill>
            <a:ln>
              <a:noFill/>
            </a:ln>
            <a:effectLst/>
          </c:spPr>
          <c:invertIfNegative val="0"/>
          <c:cat>
            <c:strRef>
              <c:f>Residential!$A$15:$A$25</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Residential!$E$15:$E$25</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2024-4C73-BC09-E7FB3EBD7D62}"/>
            </c:ext>
          </c:extLst>
        </c:ser>
        <c:ser>
          <c:idx val="1"/>
          <c:order val="1"/>
          <c:tx>
            <c:v>Recycling</c:v>
          </c:tx>
          <c:spPr>
            <a:solidFill>
              <a:schemeClr val="accent2"/>
            </a:solidFill>
            <a:ln>
              <a:noFill/>
            </a:ln>
            <a:effectLst/>
          </c:spPr>
          <c:invertIfNegative val="0"/>
          <c:val>
            <c:numRef>
              <c:f>Residential!$E$56:$E$66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2024-4C73-BC09-E7FB3EBD7D62}"/>
            </c:ext>
          </c:extLst>
        </c:ser>
        <c:dLbls>
          <c:showLegendKey val="0"/>
          <c:showVal val="0"/>
          <c:showCatName val="0"/>
          <c:showSerName val="0"/>
          <c:showPercent val="0"/>
          <c:showBubbleSize val="0"/>
        </c:dLbls>
        <c:gapWidth val="182"/>
        <c:axId val="444123200"/>
        <c:axId val="444118880"/>
      </c:barChart>
      <c:catAx>
        <c:axId val="444123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4118880"/>
        <c:crosses val="autoZero"/>
        <c:auto val="1"/>
        <c:lblAlgn val="ctr"/>
        <c:lblOffset val="100"/>
        <c:noMultiLvlLbl val="0"/>
      </c:catAx>
      <c:valAx>
        <c:axId val="44411888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4123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Summary!$A$29</c:f>
              <c:strCache>
                <c:ptCount val="1"/>
                <c:pt idx="0">
                  <c:v>Tampon applicators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E-3C3B-47F3-AD94-3229F7CC25EB}"/>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C-3C3B-47F3-AD94-3229F7CC25EB}"/>
              </c:ext>
            </c:extLst>
          </c:dPt>
          <c:dPt>
            <c:idx val="2"/>
            <c:bubble3D val="0"/>
            <c:spPr>
              <a:solidFill>
                <a:schemeClr val="accent1"/>
              </a:solidFill>
              <a:ln>
                <a:noFill/>
              </a:ln>
              <a:effectLst/>
            </c:spPr>
            <c:extLst>
              <c:ext xmlns:c16="http://schemas.microsoft.com/office/drawing/2014/chart" uri="{C3380CC4-5D6E-409C-BE32-E72D297353CC}">
                <c16:uniqueId val="{0000000D-3C3B-47F3-AD94-3229F7CC25EB}"/>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E3B9-4FC8-A439-31D1BC34B6E1}"/>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E3B9-4FC8-A439-31D1BC34B6E1}"/>
              </c:ext>
            </c:extLst>
          </c:dPt>
          <c:dLbls>
            <c:dLbl>
              <c:idx val="0"/>
              <c:layout>
                <c:manualLayout>
                  <c:x val="0.35994318619426774"/>
                  <c:y val="-5.391266159602897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C3B-47F3-AD94-3229F7CC25EB}"/>
                </c:ext>
              </c:extLst>
            </c:dLbl>
            <c:dLbl>
              <c:idx val="1"/>
              <c:layout>
                <c:manualLayout>
                  <c:x val="0.25214385517100685"/>
                  <c:y val="0.2819149012634427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3C3B-47F3-AD94-3229F7CC25EB}"/>
                </c:ext>
              </c:extLst>
            </c:dLbl>
            <c:dLbl>
              <c:idx val="2"/>
              <c:layout>
                <c:manualLayout>
                  <c:x val="0.24719941600727663"/>
                  <c:y val="0.1198110657970585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C3B-47F3-AD94-3229F7CC25EB}"/>
                </c:ext>
              </c:extLst>
            </c:dLbl>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Summary!$B$21:$F$21</c:f>
              <c:strCache>
                <c:ptCount val="5"/>
                <c:pt idx="0">
                  <c:v>Res. Garbage</c:v>
                </c:pt>
                <c:pt idx="1">
                  <c:v>Res. Recycling</c:v>
                </c:pt>
                <c:pt idx="2">
                  <c:v>Com. Garbage</c:v>
                </c:pt>
                <c:pt idx="3">
                  <c:v>Com. Recycling</c:v>
                </c:pt>
                <c:pt idx="4">
                  <c:v>Wastewater</c:v>
                </c:pt>
              </c:strCache>
            </c:strRef>
          </c:cat>
          <c:val>
            <c:numRef>
              <c:f>Summary!$B$29:$F$29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3C3B-47F3-AD94-3229F7CC25EB}"/>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Summary!$A$30</c:f>
              <c:strCache>
                <c:ptCount val="1"/>
                <c:pt idx="0">
                  <c:v>Other SUP 1</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EDD3-4DCD-8B03-F32C5352C17C}"/>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E-F602-49C1-9F93-F8F8CD262613}"/>
              </c:ext>
            </c:extLst>
          </c:dPt>
          <c:dPt>
            <c:idx val="2"/>
            <c:bubble3D val="0"/>
            <c:spPr>
              <a:solidFill>
                <a:schemeClr val="accent1"/>
              </a:solidFill>
              <a:ln>
                <a:noFill/>
              </a:ln>
              <a:effectLst/>
            </c:spPr>
            <c:extLst>
              <c:ext xmlns:c16="http://schemas.microsoft.com/office/drawing/2014/chart" uri="{C3380CC4-5D6E-409C-BE32-E72D297353CC}">
                <c16:uniqueId val="{0000000D-F602-49C1-9F93-F8F8CD262613}"/>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C-F602-49C1-9F93-F8F8CD262613}"/>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F-F602-49C1-9F93-F8F8CD262613}"/>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Summary!$B$21:$F$21</c:f>
              <c:strCache>
                <c:ptCount val="5"/>
                <c:pt idx="0">
                  <c:v>Res. Garbage</c:v>
                </c:pt>
                <c:pt idx="1">
                  <c:v>Res. Recycling</c:v>
                </c:pt>
                <c:pt idx="2">
                  <c:v>Com. Garbage</c:v>
                </c:pt>
                <c:pt idx="3">
                  <c:v>Com. Recycling</c:v>
                </c:pt>
                <c:pt idx="4">
                  <c:v>Wastewater</c:v>
                </c:pt>
              </c:strCache>
            </c:strRef>
          </c:cat>
          <c:val>
            <c:numRef>
              <c:f>Summary!$B$30:$F$30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F602-49C1-9F93-F8F8CD262613}"/>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Summary!$A$31</c:f>
              <c:strCache>
                <c:ptCount val="1"/>
                <c:pt idx="0">
                  <c:v>Other SUP 2</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E7CF-4753-82A8-91DB26EEA3E8}"/>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D-CDAC-4909-87E7-64AF9C7A1956}"/>
              </c:ext>
            </c:extLst>
          </c:dPt>
          <c:dPt>
            <c:idx val="2"/>
            <c:bubble3D val="0"/>
            <c:spPr>
              <a:solidFill>
                <a:schemeClr val="accent1"/>
              </a:solidFill>
              <a:ln>
                <a:noFill/>
              </a:ln>
              <a:effectLst/>
            </c:spPr>
            <c:extLst>
              <c:ext xmlns:c16="http://schemas.microsoft.com/office/drawing/2014/chart" uri="{C3380CC4-5D6E-409C-BE32-E72D297353CC}">
                <c16:uniqueId val="{0000000C-CDAC-4909-87E7-64AF9C7A1956}"/>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E7CF-4753-82A8-91DB26EEA3E8}"/>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E7CF-4753-82A8-91DB26EEA3E8}"/>
              </c:ext>
            </c:extLst>
          </c:dPt>
          <c:dLbls>
            <c:dLbl>
              <c:idx val="1"/>
              <c:layout>
                <c:manualLayout>
                  <c:x val="9.6415934558679271E-3"/>
                  <c:y val="4.86296632233080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CDAC-4909-87E7-64AF9C7A1956}"/>
                </c:ext>
              </c:extLst>
            </c:dLbl>
            <c:dLbl>
              <c:idx val="2"/>
              <c:layout>
                <c:manualLayout>
                  <c:x val="-0.13041798749296207"/>
                  <c:y val="-5.70950340764645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CDAC-4909-87E7-64AF9C7A1956}"/>
                </c:ext>
              </c:extLst>
            </c:dLbl>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Summary!$B$21:$F$21</c:f>
              <c:strCache>
                <c:ptCount val="5"/>
                <c:pt idx="0">
                  <c:v>Res. Garbage</c:v>
                </c:pt>
                <c:pt idx="1">
                  <c:v>Res. Recycling</c:v>
                </c:pt>
                <c:pt idx="2">
                  <c:v>Com. Garbage</c:v>
                </c:pt>
                <c:pt idx="3">
                  <c:v>Com. Recycling</c:v>
                </c:pt>
                <c:pt idx="4">
                  <c:v>Wastewater</c:v>
                </c:pt>
              </c:strCache>
            </c:strRef>
          </c:cat>
          <c:val>
            <c:numRef>
              <c:f>Summary!$B$31:$F$31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CDAC-4909-87E7-64AF9C7A1956}"/>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Summary!$A$16</c:f>
              <c:strCache>
                <c:ptCount val="1"/>
                <c:pt idx="0">
                  <c:v>Other SUP 3</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8B46-44C9-A638-CF219FCCDC7C}"/>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C-8B24-42C0-A26A-6F38F24228DD}"/>
              </c:ext>
            </c:extLst>
          </c:dPt>
          <c:dPt>
            <c:idx val="2"/>
            <c:bubble3D val="0"/>
            <c:spPr>
              <a:solidFill>
                <a:schemeClr val="accent1"/>
              </a:solidFill>
              <a:ln>
                <a:noFill/>
              </a:ln>
              <a:effectLst/>
            </c:spPr>
            <c:extLst>
              <c:ext xmlns:c16="http://schemas.microsoft.com/office/drawing/2014/chart" uri="{C3380CC4-5D6E-409C-BE32-E72D297353CC}">
                <c16:uniqueId val="{0000000E-8B24-42C0-A26A-6F38F24228DD}"/>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8B46-44C9-A638-CF219FCCDC7C}"/>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D-8B24-42C0-A26A-6F38F24228DD}"/>
              </c:ext>
            </c:extLst>
          </c:dPt>
          <c:dLbls>
            <c:dLbl>
              <c:idx val="1"/>
              <c:layout>
                <c:manualLayout>
                  <c:x val="-0.27304996128231762"/>
                  <c:y val="0.2559231926979657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B24-42C0-A26A-6F38F24228DD}"/>
                </c:ext>
              </c:extLst>
            </c:dLbl>
            <c:dLbl>
              <c:idx val="2"/>
              <c:layout>
                <c:manualLayout>
                  <c:x val="0.25837835798001707"/>
                  <c:y val="-4.951181246287185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B24-42C0-A26A-6F38F24228DD}"/>
                </c:ext>
              </c:extLst>
            </c:dLbl>
            <c:dLbl>
              <c:idx val="4"/>
              <c:layout>
                <c:manualLayout>
                  <c:x val="0.3188825452361122"/>
                  <c:y val="0.1730798888473192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B24-42C0-A26A-6F38F24228DD}"/>
                </c:ext>
              </c:extLst>
            </c:dLbl>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Summary!$B$5:$F$5</c:f>
              <c:strCache>
                <c:ptCount val="5"/>
                <c:pt idx="0">
                  <c:v>Res. Garbage</c:v>
                </c:pt>
                <c:pt idx="1">
                  <c:v>Res. Recycling</c:v>
                </c:pt>
                <c:pt idx="2">
                  <c:v>Com. Garbage</c:v>
                </c:pt>
                <c:pt idx="3">
                  <c:v>Com. Recycling</c:v>
                </c:pt>
                <c:pt idx="4">
                  <c:v>Wastewater</c:v>
                </c:pt>
              </c:strCache>
            </c:strRef>
          </c:cat>
          <c:val>
            <c:numRef>
              <c:f>Summary!$B$16:$F$16</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8B24-42C0-A26A-6F38F24228DD}"/>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Summary!$A$22</c:f>
              <c:strCache>
                <c:ptCount val="1"/>
                <c:pt idx="0">
                  <c:v>Lined hot cups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1E5-0B88-425C-A044-6AE9F62A814D}"/>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1E2-0B88-425C-A044-6AE9F62A814D}"/>
              </c:ext>
            </c:extLst>
          </c:dPt>
          <c:dPt>
            <c:idx val="2"/>
            <c:bubble3D val="0"/>
            <c:spPr>
              <a:solidFill>
                <a:schemeClr val="accent1"/>
              </a:solidFill>
              <a:ln>
                <a:noFill/>
              </a:ln>
              <a:effectLst/>
            </c:spPr>
            <c:extLst>
              <c:ext xmlns:c16="http://schemas.microsoft.com/office/drawing/2014/chart" uri="{C3380CC4-5D6E-409C-BE32-E72D297353CC}">
                <c16:uniqueId val="{000001E1-0B88-425C-A044-6AE9F62A814D}"/>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1E4-0B88-425C-A044-6AE9F62A814D}"/>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1E3-0B88-425C-A044-6AE9F62A814D}"/>
              </c:ext>
            </c:extLst>
          </c:dPt>
          <c:dLbls>
            <c:dLbl>
              <c:idx val="0"/>
              <c:layout>
                <c:manualLayout>
                  <c:x val="2.5449765612117502E-2"/>
                  <c:y val="4.3955830452895809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5-0B88-425C-A044-6AE9F62A814D}"/>
                </c:ext>
              </c:extLst>
            </c:dLbl>
            <c:dLbl>
              <c:idx val="1"/>
              <c:layout>
                <c:manualLayout>
                  <c:x val="6.9995241572636605E-2"/>
                  <c:y val="5.727858109413562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2-0B88-425C-A044-6AE9F62A814D}"/>
                </c:ext>
              </c:extLst>
            </c:dLbl>
            <c:dLbl>
              <c:idx val="2"/>
              <c:layout>
                <c:manualLayout>
                  <c:x val="0.11304723092506663"/>
                  <c:y val="-0.1655807534123605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1-0B88-425C-A044-6AE9F62A814D}"/>
                </c:ext>
              </c:extLst>
            </c:dLbl>
            <c:dLbl>
              <c:idx val="3"/>
              <c:layout>
                <c:manualLayout>
                  <c:x val="-0.21323389319450661"/>
                  <c:y val="-0.1447879941612898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4-0B88-425C-A044-6AE9F62A814D}"/>
                </c:ext>
              </c:extLst>
            </c:dLbl>
            <c:dLbl>
              <c:idx val="4"/>
              <c:layout>
                <c:manualLayout>
                  <c:x val="-7.9032672964123349E-2"/>
                  <c:y val="-1.423410464416355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3-0B88-425C-A044-6AE9F62A814D}"/>
                </c:ext>
              </c:extLst>
            </c:dLbl>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Summary!$B$21:$F$21</c:f>
              <c:strCache>
                <c:ptCount val="5"/>
                <c:pt idx="0">
                  <c:v>Res. Garbage</c:v>
                </c:pt>
                <c:pt idx="1">
                  <c:v>Res. Recycling</c:v>
                </c:pt>
                <c:pt idx="2">
                  <c:v>Com. Garbage</c:v>
                </c:pt>
                <c:pt idx="3">
                  <c:v>Com. Recycling</c:v>
                </c:pt>
                <c:pt idx="4">
                  <c:v>Wastewater</c:v>
                </c:pt>
              </c:strCache>
            </c:strRef>
          </c:cat>
          <c:val>
            <c:numRef>
              <c:f>Summary!$B$22:$F$22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1E0-0B88-425C-A044-6AE9F62A814D}"/>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Summary!$A$23</c:f>
              <c:strCache>
                <c:ptCount val="1"/>
                <c:pt idx="0">
                  <c:v>Plastic cold cups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1E4-10E7-4DFB-8DCD-0ACE6AD3A815}"/>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1E5-10E7-4DFB-8DCD-0ACE6AD3A815}"/>
              </c:ext>
            </c:extLst>
          </c:dPt>
          <c:dPt>
            <c:idx val="2"/>
            <c:bubble3D val="0"/>
            <c:spPr>
              <a:solidFill>
                <a:schemeClr val="accent1"/>
              </a:solidFill>
              <a:ln>
                <a:noFill/>
              </a:ln>
              <a:effectLst/>
            </c:spPr>
            <c:extLst>
              <c:ext xmlns:c16="http://schemas.microsoft.com/office/drawing/2014/chart" uri="{C3380CC4-5D6E-409C-BE32-E72D297353CC}">
                <c16:uniqueId val="{000001E1-10E7-4DFB-8DCD-0ACE6AD3A815}"/>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1E3-10E7-4DFB-8DCD-0ACE6AD3A815}"/>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1E2-10E7-4DFB-8DCD-0ACE6AD3A815}"/>
              </c:ext>
            </c:extLst>
          </c:dPt>
          <c:dLbls>
            <c:dLbl>
              <c:idx val="0"/>
              <c:layout>
                <c:manualLayout>
                  <c:x val="0.21746102027975331"/>
                  <c:y val="-4.379119213425174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4-10E7-4DFB-8DCD-0ACE6AD3A815}"/>
                </c:ext>
              </c:extLst>
            </c:dLbl>
            <c:dLbl>
              <c:idx val="1"/>
              <c:layout>
                <c:manualLayout>
                  <c:x val="0.31134273963478842"/>
                  <c:y val="0.3948921024785968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5-10E7-4DFB-8DCD-0ACE6AD3A815}"/>
                </c:ext>
              </c:extLst>
            </c:dLbl>
            <c:dLbl>
              <c:idx val="2"/>
              <c:layout>
                <c:manualLayout>
                  <c:x val="0.34317620915877778"/>
                  <c:y val="0.1595201380528600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1-10E7-4DFB-8DCD-0ACE6AD3A815}"/>
                </c:ext>
              </c:extLst>
            </c:dLbl>
            <c:dLbl>
              <c:idx val="3"/>
              <c:layout>
                <c:manualLayout>
                  <c:x val="0.27223457886958735"/>
                  <c:y val="-8.561588697585968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3-10E7-4DFB-8DCD-0ACE6AD3A815}"/>
                </c:ext>
              </c:extLst>
            </c:dLbl>
            <c:dLbl>
              <c:idx val="4"/>
              <c:layout>
                <c:manualLayout>
                  <c:x val="-0.36421533323710642"/>
                  <c:y val="0.1791047511712253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1E2-10E7-4DFB-8DCD-0ACE6AD3A815}"/>
                </c:ext>
              </c:extLst>
            </c:dLbl>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Summary!$B$21:$F$21</c:f>
              <c:strCache>
                <c:ptCount val="5"/>
                <c:pt idx="0">
                  <c:v>Res. Garbage</c:v>
                </c:pt>
                <c:pt idx="1">
                  <c:v>Res. Recycling</c:v>
                </c:pt>
                <c:pt idx="2">
                  <c:v>Com. Garbage</c:v>
                </c:pt>
                <c:pt idx="3">
                  <c:v>Com. Recycling</c:v>
                </c:pt>
                <c:pt idx="4">
                  <c:v>Wastewater</c:v>
                </c:pt>
              </c:strCache>
            </c:strRef>
          </c:cat>
          <c:val>
            <c:numRef>
              <c:f>Summary!$B$23:$F$23</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1E0-10E7-4DFB-8DCD-0ACE6AD3A815}"/>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Summary!$A$24</c:f>
              <c:strCache>
                <c:ptCount val="1"/>
                <c:pt idx="0">
                  <c:v>Cup lids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10-0612-4960-8FE2-E0E8CEF8B58D}"/>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C-0612-4960-8FE2-E0E8CEF8B58D}"/>
              </c:ext>
            </c:extLst>
          </c:dPt>
          <c:dPt>
            <c:idx val="2"/>
            <c:bubble3D val="0"/>
            <c:spPr>
              <a:solidFill>
                <a:schemeClr val="accent1"/>
              </a:solidFill>
              <a:ln>
                <a:noFill/>
              </a:ln>
              <a:effectLst/>
            </c:spPr>
            <c:extLst>
              <c:ext xmlns:c16="http://schemas.microsoft.com/office/drawing/2014/chart" uri="{C3380CC4-5D6E-409C-BE32-E72D297353CC}">
                <c16:uniqueId val="{0000000F-0612-4960-8FE2-E0E8CEF8B58D}"/>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E-0612-4960-8FE2-E0E8CEF8B58D}"/>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D-0612-4960-8FE2-E0E8CEF8B58D}"/>
              </c:ext>
            </c:extLst>
          </c:dPt>
          <c:dLbls>
            <c:dLbl>
              <c:idx val="0"/>
              <c:layout>
                <c:manualLayout>
                  <c:x val="0.29321493032613583"/>
                  <c:y val="-3.76540675783564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612-4960-8FE2-E0E8CEF8B58D}"/>
                </c:ext>
              </c:extLst>
            </c:dLbl>
            <c:dLbl>
              <c:idx val="1"/>
              <c:layout>
                <c:manualLayout>
                  <c:x val="0.2173025326934683"/>
                  <c:y val="0.3491590393688379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612-4960-8FE2-E0E8CEF8B58D}"/>
                </c:ext>
              </c:extLst>
            </c:dLbl>
            <c:dLbl>
              <c:idx val="2"/>
              <c:layout>
                <c:manualLayout>
                  <c:x val="0.21059738655496826"/>
                  <c:y val="0.1107426437757184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0612-4960-8FE2-E0E8CEF8B58D}"/>
                </c:ext>
              </c:extLst>
            </c:dLbl>
            <c:dLbl>
              <c:idx val="3"/>
              <c:layout>
                <c:manualLayout>
                  <c:x val="-0.13741146486357536"/>
                  <c:y val="-6.36420807800364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0612-4960-8FE2-E0E8CEF8B58D}"/>
                </c:ext>
              </c:extLst>
            </c:dLbl>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Summary!$B$21:$F$21</c:f>
              <c:strCache>
                <c:ptCount val="5"/>
                <c:pt idx="0">
                  <c:v>Res. Garbage</c:v>
                </c:pt>
                <c:pt idx="1">
                  <c:v>Res. Recycling</c:v>
                </c:pt>
                <c:pt idx="2">
                  <c:v>Com. Garbage</c:v>
                </c:pt>
                <c:pt idx="3">
                  <c:v>Com. Recycling</c:v>
                </c:pt>
                <c:pt idx="4">
                  <c:v>Wastewater</c:v>
                </c:pt>
              </c:strCache>
            </c:strRef>
          </c:cat>
          <c:val>
            <c:numRef>
              <c:f>Summary!$B$24:$F$24</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0612-4960-8FE2-E0E8CEF8B58D}"/>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Summary!$A$27</c:f>
              <c:strCache>
                <c:ptCount val="1"/>
                <c:pt idx="0">
                  <c:v>Plastic bottles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E-D402-4387-8751-9595A3698F59}"/>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F-D402-4387-8751-9595A3698F59}"/>
              </c:ext>
            </c:extLst>
          </c:dPt>
          <c:dPt>
            <c:idx val="2"/>
            <c:bubble3D val="0"/>
            <c:spPr>
              <a:solidFill>
                <a:schemeClr val="accent1"/>
              </a:solidFill>
              <a:ln>
                <a:noFill/>
              </a:ln>
              <a:effectLst/>
            </c:spPr>
            <c:extLst>
              <c:ext xmlns:c16="http://schemas.microsoft.com/office/drawing/2014/chart" uri="{C3380CC4-5D6E-409C-BE32-E72D297353CC}">
                <c16:uniqueId val="{00000010-D402-4387-8751-9595A3698F59}"/>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C-D402-4387-8751-9595A3698F59}"/>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D-D402-4387-8751-9595A3698F59}"/>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Summary!$B$21:$F$21</c:f>
              <c:strCache>
                <c:ptCount val="5"/>
                <c:pt idx="0">
                  <c:v>Res. Garbage</c:v>
                </c:pt>
                <c:pt idx="1">
                  <c:v>Res. Recycling</c:v>
                </c:pt>
                <c:pt idx="2">
                  <c:v>Com. Garbage</c:v>
                </c:pt>
                <c:pt idx="3">
                  <c:v>Com. Recycling</c:v>
                </c:pt>
                <c:pt idx="4">
                  <c:v>Wastewater</c:v>
                </c:pt>
              </c:strCache>
            </c:strRef>
          </c:cat>
          <c:val>
            <c:numRef>
              <c:f>Summary!$B$27:$F$27</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B-D402-4387-8751-9595A3698F59}"/>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Summary!$A$25</c:f>
              <c:strCache>
                <c:ptCount val="1"/>
                <c:pt idx="0">
                  <c:v>Vaping devices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7F2B-407D-AD93-48F3ABA64314}"/>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7F2B-407D-AD93-48F3ABA64314}"/>
              </c:ext>
            </c:extLst>
          </c:dPt>
          <c:dPt>
            <c:idx val="2"/>
            <c:bubble3D val="0"/>
            <c:spPr>
              <a:solidFill>
                <a:schemeClr val="accent1"/>
              </a:solidFill>
              <a:ln>
                <a:noFill/>
              </a:ln>
              <a:effectLst/>
            </c:spPr>
            <c:extLst>
              <c:ext xmlns:c16="http://schemas.microsoft.com/office/drawing/2014/chart" uri="{C3380CC4-5D6E-409C-BE32-E72D297353CC}">
                <c16:uniqueId val="{00000005-7F2B-407D-AD93-48F3ABA64314}"/>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7F2B-407D-AD93-48F3ABA64314}"/>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7F2B-407D-AD93-48F3ABA64314}"/>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Summary!$J$21:$N$21</c:f>
              <c:strCache>
                <c:ptCount val="5"/>
                <c:pt idx="0">
                  <c:v>Res. Garbage</c:v>
                </c:pt>
                <c:pt idx="1">
                  <c:v>Res. Recycling</c:v>
                </c:pt>
                <c:pt idx="2">
                  <c:v>Com. Garbage</c:v>
                </c:pt>
                <c:pt idx="3">
                  <c:v>Com. Recycling</c:v>
                </c:pt>
                <c:pt idx="4">
                  <c:v>Wastewater</c:v>
                </c:pt>
              </c:strCache>
            </c:strRef>
          </c:cat>
          <c:val>
            <c:numRef>
              <c:f>Summary!$J$25:$N$25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7F2B-407D-AD93-48F3ABA64314}"/>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Summary!$A$26</c:f>
              <c:strCache>
                <c:ptCount val="1"/>
                <c:pt idx="0">
                  <c:v>Bottle caps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565D-4661-A995-ED8F220B02C0}"/>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565D-4661-A995-ED8F220B02C0}"/>
              </c:ext>
            </c:extLst>
          </c:dPt>
          <c:dPt>
            <c:idx val="2"/>
            <c:bubble3D val="0"/>
            <c:spPr>
              <a:solidFill>
                <a:schemeClr val="accent1"/>
              </a:solidFill>
              <a:ln>
                <a:noFill/>
              </a:ln>
              <a:effectLst/>
            </c:spPr>
            <c:extLst>
              <c:ext xmlns:c16="http://schemas.microsoft.com/office/drawing/2014/chart" uri="{C3380CC4-5D6E-409C-BE32-E72D297353CC}">
                <c16:uniqueId val="{00000005-565D-4661-A995-ED8F220B02C0}"/>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565D-4661-A995-ED8F220B02C0}"/>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565D-4661-A995-ED8F220B02C0}"/>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Summary!$J$21:$N$21</c:f>
              <c:strCache>
                <c:ptCount val="5"/>
                <c:pt idx="0">
                  <c:v>Res. Garbage</c:v>
                </c:pt>
                <c:pt idx="1">
                  <c:v>Res. Recycling</c:v>
                </c:pt>
                <c:pt idx="2">
                  <c:v>Com. Garbage</c:v>
                </c:pt>
                <c:pt idx="3">
                  <c:v>Com. Recycling</c:v>
                </c:pt>
                <c:pt idx="4">
                  <c:v>Wastewater</c:v>
                </c:pt>
              </c:strCache>
            </c:strRef>
          </c:cat>
          <c:val>
            <c:numRef>
              <c:f>Summary!$J$26:$N$26</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565D-4661-A995-ED8F220B02C0}"/>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SUP Weight: Garbage vs Recycling - Year 2 (kg)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Garbage</c:v>
          </c:tx>
          <c:spPr>
            <a:solidFill>
              <a:schemeClr val="accent1"/>
            </a:solidFill>
            <a:ln>
              <a:noFill/>
            </a:ln>
            <a:effectLst/>
          </c:spPr>
          <c:invertIfNegative val="0"/>
          <c:cat>
            <c:strRef>
              <c:f>Residential!$A$15:$A$25</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Residential!$K$15:$K$25</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82D-4A7F-B8DB-76F3FFE8E28D}"/>
            </c:ext>
          </c:extLst>
        </c:ser>
        <c:ser>
          <c:idx val="1"/>
          <c:order val="1"/>
          <c:tx>
            <c:v>Recycling</c:v>
          </c:tx>
          <c:spPr>
            <a:solidFill>
              <a:schemeClr val="accent2"/>
            </a:solidFill>
            <a:ln>
              <a:noFill/>
            </a:ln>
            <a:effectLst/>
          </c:spPr>
          <c:invertIfNegative val="0"/>
          <c:val>
            <c:numRef>
              <c:f>Residential!$K$56:$K$66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B82D-4A7F-B8DB-76F3FFE8E28D}"/>
            </c:ext>
          </c:extLst>
        </c:ser>
        <c:dLbls>
          <c:showLegendKey val="0"/>
          <c:showVal val="0"/>
          <c:showCatName val="0"/>
          <c:showSerName val="0"/>
          <c:showPercent val="0"/>
          <c:showBubbleSize val="0"/>
        </c:dLbls>
        <c:gapWidth val="182"/>
        <c:axId val="1262971327"/>
        <c:axId val="1262971807"/>
      </c:barChart>
      <c:catAx>
        <c:axId val="126297132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2971807"/>
        <c:crosses val="autoZero"/>
        <c:auto val="1"/>
        <c:lblAlgn val="ctr"/>
        <c:lblOffset val="100"/>
        <c:noMultiLvlLbl val="0"/>
      </c:catAx>
      <c:valAx>
        <c:axId val="1262971807"/>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29713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Summary!$A$28</c:f>
              <c:strCache>
                <c:ptCount val="1"/>
                <c:pt idx="0">
                  <c:v>Foam trays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93B5-475B-96E3-A61AD314E7F6}"/>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93B5-475B-96E3-A61AD314E7F6}"/>
              </c:ext>
            </c:extLst>
          </c:dPt>
          <c:dPt>
            <c:idx val="2"/>
            <c:bubble3D val="0"/>
            <c:spPr>
              <a:solidFill>
                <a:schemeClr val="accent1"/>
              </a:solidFill>
              <a:ln>
                <a:noFill/>
              </a:ln>
              <a:effectLst/>
            </c:spPr>
            <c:extLst>
              <c:ext xmlns:c16="http://schemas.microsoft.com/office/drawing/2014/chart" uri="{C3380CC4-5D6E-409C-BE32-E72D297353CC}">
                <c16:uniqueId val="{00000005-93B5-475B-96E3-A61AD314E7F6}"/>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93B5-475B-96E3-A61AD314E7F6}"/>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93B5-475B-96E3-A61AD314E7F6}"/>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Summary!$J$21:$N$21</c:f>
              <c:strCache>
                <c:ptCount val="5"/>
                <c:pt idx="0">
                  <c:v>Res. Garbage</c:v>
                </c:pt>
                <c:pt idx="1">
                  <c:v>Res. Recycling</c:v>
                </c:pt>
                <c:pt idx="2">
                  <c:v>Com. Garbage</c:v>
                </c:pt>
                <c:pt idx="3">
                  <c:v>Com. Recycling</c:v>
                </c:pt>
                <c:pt idx="4">
                  <c:v>Wastewater</c:v>
                </c:pt>
              </c:strCache>
            </c:strRef>
          </c:cat>
          <c:val>
            <c:numRef>
              <c:f>Summary!$J$28:$N$28</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93B5-475B-96E3-A61AD314E7F6}"/>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Summary!$A$29</c:f>
              <c:strCache>
                <c:ptCount val="1"/>
                <c:pt idx="0">
                  <c:v>Tampon applicators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AAB6-4661-93C2-64B1516E950D}"/>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AAB6-4661-93C2-64B1516E950D}"/>
              </c:ext>
            </c:extLst>
          </c:dPt>
          <c:dPt>
            <c:idx val="2"/>
            <c:bubble3D val="0"/>
            <c:spPr>
              <a:solidFill>
                <a:schemeClr val="accent1"/>
              </a:solidFill>
              <a:ln>
                <a:noFill/>
              </a:ln>
              <a:effectLst/>
            </c:spPr>
            <c:extLst>
              <c:ext xmlns:c16="http://schemas.microsoft.com/office/drawing/2014/chart" uri="{C3380CC4-5D6E-409C-BE32-E72D297353CC}">
                <c16:uniqueId val="{00000005-AAB6-4661-93C2-64B1516E950D}"/>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AAB6-4661-93C2-64B1516E950D}"/>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AAB6-4661-93C2-64B1516E950D}"/>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Summary!$J$21:$N$21</c:f>
              <c:strCache>
                <c:ptCount val="5"/>
                <c:pt idx="0">
                  <c:v>Res. Garbage</c:v>
                </c:pt>
                <c:pt idx="1">
                  <c:v>Res. Recycling</c:v>
                </c:pt>
                <c:pt idx="2">
                  <c:v>Com. Garbage</c:v>
                </c:pt>
                <c:pt idx="3">
                  <c:v>Com. Recycling</c:v>
                </c:pt>
                <c:pt idx="4">
                  <c:v>Wastewater</c:v>
                </c:pt>
              </c:strCache>
            </c:strRef>
          </c:cat>
          <c:val>
            <c:numRef>
              <c:f>Summary!$J$29:$N$29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AAB6-4661-93C2-64B1516E950D}"/>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Summary!$A$30</c:f>
              <c:strCache>
                <c:ptCount val="1"/>
                <c:pt idx="0">
                  <c:v>Other SUP 1</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1889-4C65-8A68-DE9931E240D6}"/>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1889-4C65-8A68-DE9931E240D6}"/>
              </c:ext>
            </c:extLst>
          </c:dPt>
          <c:dPt>
            <c:idx val="2"/>
            <c:bubble3D val="0"/>
            <c:spPr>
              <a:solidFill>
                <a:schemeClr val="accent1"/>
              </a:solidFill>
              <a:ln>
                <a:noFill/>
              </a:ln>
              <a:effectLst/>
            </c:spPr>
            <c:extLst>
              <c:ext xmlns:c16="http://schemas.microsoft.com/office/drawing/2014/chart" uri="{C3380CC4-5D6E-409C-BE32-E72D297353CC}">
                <c16:uniqueId val="{00000005-1889-4C65-8A68-DE9931E240D6}"/>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1889-4C65-8A68-DE9931E240D6}"/>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1889-4C65-8A68-DE9931E240D6}"/>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Summary!$J$21:$N$21</c:f>
              <c:strCache>
                <c:ptCount val="5"/>
                <c:pt idx="0">
                  <c:v>Res. Garbage</c:v>
                </c:pt>
                <c:pt idx="1">
                  <c:v>Res. Recycling</c:v>
                </c:pt>
                <c:pt idx="2">
                  <c:v>Com. Garbage</c:v>
                </c:pt>
                <c:pt idx="3">
                  <c:v>Com. Recycling</c:v>
                </c:pt>
                <c:pt idx="4">
                  <c:v>Wastewater</c:v>
                </c:pt>
              </c:strCache>
            </c:strRef>
          </c:cat>
          <c:val>
            <c:numRef>
              <c:f>Summary!$J$30:$N$30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1889-4C65-8A68-DE9931E240D6}"/>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Summary!$A$31</c:f>
              <c:strCache>
                <c:ptCount val="1"/>
                <c:pt idx="0">
                  <c:v>Other SUP 2</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47B8-4EF5-A067-F9AA1011898F}"/>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47B8-4EF5-A067-F9AA1011898F}"/>
              </c:ext>
            </c:extLst>
          </c:dPt>
          <c:dPt>
            <c:idx val="2"/>
            <c:bubble3D val="0"/>
            <c:spPr>
              <a:solidFill>
                <a:schemeClr val="accent1"/>
              </a:solidFill>
              <a:ln>
                <a:noFill/>
              </a:ln>
              <a:effectLst/>
            </c:spPr>
            <c:extLst>
              <c:ext xmlns:c16="http://schemas.microsoft.com/office/drawing/2014/chart" uri="{C3380CC4-5D6E-409C-BE32-E72D297353CC}">
                <c16:uniqueId val="{00000005-47B8-4EF5-A067-F9AA1011898F}"/>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47B8-4EF5-A067-F9AA1011898F}"/>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47B8-4EF5-A067-F9AA1011898F}"/>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Summary!$J$21:$N$21</c:f>
              <c:strCache>
                <c:ptCount val="5"/>
                <c:pt idx="0">
                  <c:v>Res. Garbage</c:v>
                </c:pt>
                <c:pt idx="1">
                  <c:v>Res. Recycling</c:v>
                </c:pt>
                <c:pt idx="2">
                  <c:v>Com. Garbage</c:v>
                </c:pt>
                <c:pt idx="3">
                  <c:v>Com. Recycling</c:v>
                </c:pt>
                <c:pt idx="4">
                  <c:v>Wastewater</c:v>
                </c:pt>
              </c:strCache>
            </c:strRef>
          </c:cat>
          <c:val>
            <c:numRef>
              <c:f>Summary!$J$31:$N$31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47B8-4EF5-A067-F9AA1011898F}"/>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Summary!$A$16</c:f>
              <c:strCache>
                <c:ptCount val="1"/>
                <c:pt idx="0">
                  <c:v>Other SUP 3</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BA46-4535-AEF4-93E0E05E4900}"/>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BA46-4535-AEF4-93E0E05E4900}"/>
              </c:ext>
            </c:extLst>
          </c:dPt>
          <c:dPt>
            <c:idx val="2"/>
            <c:bubble3D val="0"/>
            <c:spPr>
              <a:solidFill>
                <a:schemeClr val="accent1"/>
              </a:solidFill>
              <a:ln>
                <a:noFill/>
              </a:ln>
              <a:effectLst/>
            </c:spPr>
            <c:extLst>
              <c:ext xmlns:c16="http://schemas.microsoft.com/office/drawing/2014/chart" uri="{C3380CC4-5D6E-409C-BE32-E72D297353CC}">
                <c16:uniqueId val="{00000005-BA46-4535-AEF4-93E0E05E4900}"/>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BA46-4535-AEF4-93E0E05E4900}"/>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BA46-4535-AEF4-93E0E05E4900}"/>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Summary!$J$5:$N$5</c:f>
              <c:strCache>
                <c:ptCount val="5"/>
                <c:pt idx="0">
                  <c:v>Res. Garbage</c:v>
                </c:pt>
                <c:pt idx="1">
                  <c:v>Res. Recycling</c:v>
                </c:pt>
                <c:pt idx="2">
                  <c:v>Com. Garbage</c:v>
                </c:pt>
                <c:pt idx="3">
                  <c:v>Com. Recycling</c:v>
                </c:pt>
                <c:pt idx="4">
                  <c:v>Wastewater</c:v>
                </c:pt>
              </c:strCache>
            </c:strRef>
          </c:cat>
          <c:val>
            <c:numRef>
              <c:f>Summary!$J$16:$N$16</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BA46-4535-AEF4-93E0E05E4900}"/>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Summary!$A$22</c:f>
              <c:strCache>
                <c:ptCount val="1"/>
                <c:pt idx="0">
                  <c:v>Lined hot cups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503B-43A8-B38D-CB22B2417E57}"/>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503B-43A8-B38D-CB22B2417E57}"/>
              </c:ext>
            </c:extLst>
          </c:dPt>
          <c:dPt>
            <c:idx val="2"/>
            <c:bubble3D val="0"/>
            <c:spPr>
              <a:solidFill>
                <a:schemeClr val="accent1"/>
              </a:solidFill>
              <a:ln>
                <a:noFill/>
              </a:ln>
              <a:effectLst/>
            </c:spPr>
            <c:extLst>
              <c:ext xmlns:c16="http://schemas.microsoft.com/office/drawing/2014/chart" uri="{C3380CC4-5D6E-409C-BE32-E72D297353CC}">
                <c16:uniqueId val="{00000005-503B-43A8-B38D-CB22B2417E57}"/>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503B-43A8-B38D-CB22B2417E57}"/>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503B-43A8-B38D-CB22B2417E57}"/>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Summary!$J$21:$N$21</c:f>
              <c:strCache>
                <c:ptCount val="5"/>
                <c:pt idx="0">
                  <c:v>Res. Garbage</c:v>
                </c:pt>
                <c:pt idx="1">
                  <c:v>Res. Recycling</c:v>
                </c:pt>
                <c:pt idx="2">
                  <c:v>Com. Garbage</c:v>
                </c:pt>
                <c:pt idx="3">
                  <c:v>Com. Recycling</c:v>
                </c:pt>
                <c:pt idx="4">
                  <c:v>Wastewater</c:v>
                </c:pt>
              </c:strCache>
            </c:strRef>
          </c:cat>
          <c:val>
            <c:numRef>
              <c:f>Summary!$J$22:$N$22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503B-43A8-B38D-CB22B2417E57}"/>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Summary!$A$23</c:f>
              <c:strCache>
                <c:ptCount val="1"/>
                <c:pt idx="0">
                  <c:v>Plastic cold cups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E4F1-4A91-85E8-F4EC8E84AB8C}"/>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E4F1-4A91-85E8-F4EC8E84AB8C}"/>
              </c:ext>
            </c:extLst>
          </c:dPt>
          <c:dPt>
            <c:idx val="2"/>
            <c:bubble3D val="0"/>
            <c:spPr>
              <a:solidFill>
                <a:schemeClr val="accent1"/>
              </a:solidFill>
              <a:ln>
                <a:noFill/>
              </a:ln>
              <a:effectLst/>
            </c:spPr>
            <c:extLst>
              <c:ext xmlns:c16="http://schemas.microsoft.com/office/drawing/2014/chart" uri="{C3380CC4-5D6E-409C-BE32-E72D297353CC}">
                <c16:uniqueId val="{00000005-E4F1-4A91-85E8-F4EC8E84AB8C}"/>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E4F1-4A91-85E8-F4EC8E84AB8C}"/>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E4F1-4A91-85E8-F4EC8E84AB8C}"/>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Summary!$J$21:$N$21</c:f>
              <c:strCache>
                <c:ptCount val="5"/>
                <c:pt idx="0">
                  <c:v>Res. Garbage</c:v>
                </c:pt>
                <c:pt idx="1">
                  <c:v>Res. Recycling</c:v>
                </c:pt>
                <c:pt idx="2">
                  <c:v>Com. Garbage</c:v>
                </c:pt>
                <c:pt idx="3">
                  <c:v>Com. Recycling</c:v>
                </c:pt>
                <c:pt idx="4">
                  <c:v>Wastewater</c:v>
                </c:pt>
              </c:strCache>
            </c:strRef>
          </c:cat>
          <c:val>
            <c:numRef>
              <c:f>Summary!$J$23:$N$23</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E4F1-4A91-85E8-F4EC8E84AB8C}"/>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Summary!$A$24</c:f>
              <c:strCache>
                <c:ptCount val="1"/>
                <c:pt idx="0">
                  <c:v>Cup lids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3DBA-4E0F-A472-B803374F0F04}"/>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3DBA-4E0F-A472-B803374F0F04}"/>
              </c:ext>
            </c:extLst>
          </c:dPt>
          <c:dPt>
            <c:idx val="2"/>
            <c:bubble3D val="0"/>
            <c:spPr>
              <a:solidFill>
                <a:schemeClr val="accent1"/>
              </a:solidFill>
              <a:ln>
                <a:noFill/>
              </a:ln>
              <a:effectLst/>
            </c:spPr>
            <c:extLst>
              <c:ext xmlns:c16="http://schemas.microsoft.com/office/drawing/2014/chart" uri="{C3380CC4-5D6E-409C-BE32-E72D297353CC}">
                <c16:uniqueId val="{00000005-3DBA-4E0F-A472-B803374F0F04}"/>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3DBA-4E0F-A472-B803374F0F04}"/>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3DBA-4E0F-A472-B803374F0F04}"/>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Summary!$J$21:$N$21</c:f>
              <c:strCache>
                <c:ptCount val="5"/>
                <c:pt idx="0">
                  <c:v>Res. Garbage</c:v>
                </c:pt>
                <c:pt idx="1">
                  <c:v>Res. Recycling</c:v>
                </c:pt>
                <c:pt idx="2">
                  <c:v>Com. Garbage</c:v>
                </c:pt>
                <c:pt idx="3">
                  <c:v>Com. Recycling</c:v>
                </c:pt>
                <c:pt idx="4">
                  <c:v>Wastewater</c:v>
                </c:pt>
              </c:strCache>
            </c:strRef>
          </c:cat>
          <c:val>
            <c:numRef>
              <c:f>Summary!$J$24:$N$24</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3DBA-4E0F-A472-B803374F0F04}"/>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Summary!$A$27</c:f>
              <c:strCache>
                <c:ptCount val="1"/>
                <c:pt idx="0">
                  <c:v>Plastic bottles</c:v>
                </c:pt>
              </c:strCache>
            </c:strRef>
          </c:tx>
          <c:dPt>
            <c:idx val="0"/>
            <c:bubble3D val="0"/>
            <c:spPr>
              <a:solidFill>
                <a:schemeClr val="accent1">
                  <a:shade val="53000"/>
                </a:schemeClr>
              </a:solidFill>
              <a:ln>
                <a:noFill/>
              </a:ln>
              <a:effectLst/>
            </c:spPr>
            <c:extLst>
              <c:ext xmlns:c16="http://schemas.microsoft.com/office/drawing/2014/chart" uri="{C3380CC4-5D6E-409C-BE32-E72D297353CC}">
                <c16:uniqueId val="{00000001-5E76-4F08-97EE-D06DD6E011E7}"/>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5E76-4F08-97EE-D06DD6E011E7}"/>
              </c:ext>
            </c:extLst>
          </c:dPt>
          <c:dPt>
            <c:idx val="2"/>
            <c:bubble3D val="0"/>
            <c:spPr>
              <a:solidFill>
                <a:schemeClr val="accent1"/>
              </a:solidFill>
              <a:ln>
                <a:noFill/>
              </a:ln>
              <a:effectLst/>
            </c:spPr>
            <c:extLst>
              <c:ext xmlns:c16="http://schemas.microsoft.com/office/drawing/2014/chart" uri="{C3380CC4-5D6E-409C-BE32-E72D297353CC}">
                <c16:uniqueId val="{00000005-5E76-4F08-97EE-D06DD6E011E7}"/>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7-5E76-4F08-97EE-D06DD6E011E7}"/>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5E76-4F08-97EE-D06DD6E011E7}"/>
              </c:ext>
            </c:extLst>
          </c:dPt>
          <c:dLbls>
            <c:spPr>
              <a:solidFill>
                <a:sysClr val="window" lastClr="FFFFFF"/>
              </a:solid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solidFill>
                    <a:latin typeface="+mn-lt"/>
                    <a:ea typeface="+mn-ea"/>
                    <a:cs typeface="+mn-cs"/>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Summary!$J$21:$N$21</c:f>
              <c:strCache>
                <c:ptCount val="5"/>
                <c:pt idx="0">
                  <c:v>Res. Garbage</c:v>
                </c:pt>
                <c:pt idx="1">
                  <c:v>Res. Recycling</c:v>
                </c:pt>
                <c:pt idx="2">
                  <c:v>Com. Garbage</c:v>
                </c:pt>
                <c:pt idx="3">
                  <c:v>Com. Recycling</c:v>
                </c:pt>
                <c:pt idx="4">
                  <c:v>Wastewater</c:v>
                </c:pt>
              </c:strCache>
            </c:strRef>
          </c:cat>
          <c:val>
            <c:numRef>
              <c:f>Summary!$J$27:$N$27</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A-5E76-4F08-97EE-D06DD6E011E7}"/>
            </c:ext>
          </c:extLst>
        </c:ser>
        <c:dLbls>
          <c:dLblPos val="bestFit"/>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1270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SUP Cost: Garbage vs Recycling - Year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Garbage</c:v>
          </c:tx>
          <c:spPr>
            <a:solidFill>
              <a:schemeClr val="accent1"/>
            </a:solidFill>
            <a:ln>
              <a:noFill/>
            </a:ln>
            <a:effectLst/>
          </c:spPr>
          <c:invertIfNegative val="0"/>
          <c:cat>
            <c:strRef>
              <c:f>Residential!$A$15:$A$25</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Residential!$L$15:$L$25</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0B4-444E-8B14-A52FCE7D2C75}"/>
            </c:ext>
          </c:extLst>
        </c:ser>
        <c:ser>
          <c:idx val="1"/>
          <c:order val="1"/>
          <c:tx>
            <c:v>Recycling</c:v>
          </c:tx>
          <c:spPr>
            <a:solidFill>
              <a:schemeClr val="accent2"/>
            </a:solidFill>
            <a:ln>
              <a:noFill/>
            </a:ln>
            <a:effectLst/>
          </c:spPr>
          <c:invertIfNegative val="0"/>
          <c:val>
            <c:numRef>
              <c:f>Residential!$L$56:$L$66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B0B4-444E-8B14-A52FCE7D2C75}"/>
            </c:ext>
          </c:extLst>
        </c:ser>
        <c:dLbls>
          <c:showLegendKey val="0"/>
          <c:showVal val="0"/>
          <c:showCatName val="0"/>
          <c:showSerName val="0"/>
          <c:showPercent val="0"/>
          <c:showBubbleSize val="0"/>
        </c:dLbls>
        <c:gapWidth val="182"/>
        <c:axId val="1097108240"/>
        <c:axId val="1097112080"/>
      </c:barChart>
      <c:catAx>
        <c:axId val="1097108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7112080"/>
        <c:crosses val="autoZero"/>
        <c:auto val="1"/>
        <c:lblAlgn val="ctr"/>
        <c:lblOffset val="100"/>
        <c:noMultiLvlLbl val="0"/>
      </c:catAx>
      <c:valAx>
        <c:axId val="109711208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7108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SUP Weight: Garbage vs Recycling - Year 1 (kg)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Garbage</c:v>
          </c:tx>
          <c:spPr>
            <a:solidFill>
              <a:schemeClr val="accent1"/>
            </a:solidFill>
            <a:ln>
              <a:noFill/>
            </a:ln>
            <a:effectLst/>
          </c:spPr>
          <c:invertIfNegative val="0"/>
          <c:cat>
            <c:strRef>
              <c:f>Commercial!$A$14:$A$24</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Commercial!$D$14:$D$24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ACB7-44BE-BEC7-3EC3AB731FAF}"/>
            </c:ext>
          </c:extLst>
        </c:ser>
        <c:ser>
          <c:idx val="1"/>
          <c:order val="1"/>
          <c:tx>
            <c:v>Recycling</c:v>
          </c:tx>
          <c:spPr>
            <a:solidFill>
              <a:schemeClr val="accent2"/>
            </a:solidFill>
            <a:ln>
              <a:noFill/>
            </a:ln>
            <a:effectLst/>
          </c:spPr>
          <c:invertIfNegative val="0"/>
          <c:val>
            <c:numRef>
              <c:f>Commercial!$D$54:$D$64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ACB7-44BE-BEC7-3EC3AB731FAF}"/>
            </c:ext>
          </c:extLst>
        </c:ser>
        <c:dLbls>
          <c:showLegendKey val="0"/>
          <c:showVal val="0"/>
          <c:showCatName val="0"/>
          <c:showSerName val="0"/>
          <c:showPercent val="0"/>
          <c:showBubbleSize val="0"/>
        </c:dLbls>
        <c:gapWidth val="182"/>
        <c:axId val="695540208"/>
        <c:axId val="695538768"/>
      </c:barChart>
      <c:catAx>
        <c:axId val="695540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538768"/>
        <c:crosses val="autoZero"/>
        <c:auto val="1"/>
        <c:lblAlgn val="ctr"/>
        <c:lblOffset val="100"/>
        <c:noMultiLvlLbl val="0"/>
      </c:catAx>
      <c:valAx>
        <c:axId val="6955387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540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SUP Cost: Garbage vs Recycling - Year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Garbage</c:v>
          </c:tx>
          <c:spPr>
            <a:solidFill>
              <a:schemeClr val="accent1"/>
            </a:solidFill>
            <a:ln>
              <a:noFill/>
            </a:ln>
            <a:effectLst/>
          </c:spPr>
          <c:invertIfNegative val="0"/>
          <c:cat>
            <c:strRef>
              <c:f>Commercial!$A$14:$A$24</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Commercial!$E$14:$E$24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D4E2-4CD2-962B-CF23CDB2A14B}"/>
            </c:ext>
          </c:extLst>
        </c:ser>
        <c:ser>
          <c:idx val="1"/>
          <c:order val="1"/>
          <c:tx>
            <c:v>Recycling</c:v>
          </c:tx>
          <c:spPr>
            <a:solidFill>
              <a:schemeClr val="accent2"/>
            </a:solidFill>
            <a:ln>
              <a:noFill/>
            </a:ln>
            <a:effectLst/>
          </c:spPr>
          <c:invertIfNegative val="0"/>
          <c:val>
            <c:numRef>
              <c:f>Commercial!$E$54:$E$64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D4E2-4CD2-962B-CF23CDB2A14B}"/>
            </c:ext>
          </c:extLst>
        </c:ser>
        <c:dLbls>
          <c:showLegendKey val="0"/>
          <c:showVal val="0"/>
          <c:showCatName val="0"/>
          <c:showSerName val="0"/>
          <c:showPercent val="0"/>
          <c:showBubbleSize val="0"/>
        </c:dLbls>
        <c:gapWidth val="182"/>
        <c:axId val="59437248"/>
        <c:axId val="59443968"/>
      </c:barChart>
      <c:catAx>
        <c:axId val="59437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43968"/>
        <c:crosses val="autoZero"/>
        <c:auto val="1"/>
        <c:lblAlgn val="ctr"/>
        <c:lblOffset val="100"/>
        <c:noMultiLvlLbl val="0"/>
      </c:catAx>
      <c:valAx>
        <c:axId val="594439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37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SUP Weight: Garbage vs Recycling - Year 2 (kg)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Garbage</c:v>
          </c:tx>
          <c:spPr>
            <a:solidFill>
              <a:schemeClr val="accent1"/>
            </a:solidFill>
            <a:ln>
              <a:noFill/>
            </a:ln>
            <a:effectLst/>
          </c:spPr>
          <c:invertIfNegative val="0"/>
          <c:cat>
            <c:strRef>
              <c:f>Commercial!$A$14:$A$24</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Commercial!$K$14:$K$24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3226-4C4E-ABC6-AAFFE138FDBC}"/>
            </c:ext>
          </c:extLst>
        </c:ser>
        <c:ser>
          <c:idx val="1"/>
          <c:order val="1"/>
          <c:tx>
            <c:v>Recycling</c:v>
          </c:tx>
          <c:spPr>
            <a:solidFill>
              <a:schemeClr val="accent2"/>
            </a:solidFill>
            <a:ln>
              <a:noFill/>
            </a:ln>
            <a:effectLst/>
          </c:spPr>
          <c:invertIfNegative val="0"/>
          <c:val>
            <c:numRef>
              <c:f>Commercial!$K$54:$K$64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3226-4C4E-ABC6-AAFFE138FDBC}"/>
            </c:ext>
          </c:extLst>
        </c:ser>
        <c:dLbls>
          <c:showLegendKey val="0"/>
          <c:showVal val="0"/>
          <c:showCatName val="0"/>
          <c:showSerName val="0"/>
          <c:showPercent val="0"/>
          <c:showBubbleSize val="0"/>
        </c:dLbls>
        <c:gapWidth val="182"/>
        <c:axId val="1176390816"/>
        <c:axId val="1176395136"/>
      </c:barChart>
      <c:catAx>
        <c:axId val="1176390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6395136"/>
        <c:crosses val="autoZero"/>
        <c:auto val="1"/>
        <c:lblAlgn val="ctr"/>
        <c:lblOffset val="100"/>
        <c:noMultiLvlLbl val="0"/>
      </c:catAx>
      <c:valAx>
        <c:axId val="11763951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639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SUP Cost: Garbage vs Recycling - Year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Garbage</c:v>
          </c:tx>
          <c:spPr>
            <a:solidFill>
              <a:schemeClr val="accent1"/>
            </a:solidFill>
            <a:ln>
              <a:noFill/>
            </a:ln>
            <a:effectLst/>
          </c:spPr>
          <c:invertIfNegative val="0"/>
          <c:cat>
            <c:strRef>
              <c:f>Commercial!$A$14:$A$24</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Commercial!$L$14:$L$24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2CD2-4844-BD24-64D4AEE5947F}"/>
            </c:ext>
          </c:extLst>
        </c:ser>
        <c:ser>
          <c:idx val="1"/>
          <c:order val="1"/>
          <c:tx>
            <c:v>Recycling</c:v>
          </c:tx>
          <c:spPr>
            <a:solidFill>
              <a:schemeClr val="accent2"/>
            </a:solidFill>
            <a:ln>
              <a:noFill/>
            </a:ln>
            <a:effectLst/>
          </c:spPr>
          <c:invertIfNegative val="0"/>
          <c:val>
            <c:numRef>
              <c:f>Commercial!$L$54:$L$64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2CD2-4844-BD24-64D4AEE5947F}"/>
            </c:ext>
          </c:extLst>
        </c:ser>
        <c:dLbls>
          <c:showLegendKey val="0"/>
          <c:showVal val="0"/>
          <c:showCatName val="0"/>
          <c:showSerName val="0"/>
          <c:showPercent val="0"/>
          <c:showBubbleSize val="0"/>
        </c:dLbls>
        <c:gapWidth val="182"/>
        <c:axId val="1159109968"/>
        <c:axId val="1159107568"/>
      </c:barChart>
      <c:catAx>
        <c:axId val="1159109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9107568"/>
        <c:crosses val="autoZero"/>
        <c:auto val="1"/>
        <c:lblAlgn val="ctr"/>
        <c:lblOffset val="100"/>
        <c:noMultiLvlLbl val="0"/>
      </c:catAx>
      <c:valAx>
        <c:axId val="11591075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9109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SUP Weight: Year 1 vs Year 2 (kg)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v>Year 1</c:v>
          </c:tx>
          <c:spPr>
            <a:solidFill>
              <a:schemeClr val="accent1"/>
            </a:solidFill>
            <a:ln>
              <a:noFill/>
            </a:ln>
            <a:effectLst/>
          </c:spPr>
          <c:invertIfNegative val="0"/>
          <c:cat>
            <c:strRef>
              <c:f>Wastewater!$A$12:$A$22</c:f>
              <c:strCache>
                <c:ptCount val="11"/>
                <c:pt idx="0">
                  <c:v>Lined hot cups</c:v>
                </c:pt>
                <c:pt idx="1">
                  <c:v>Plastic cold cups</c:v>
                </c:pt>
                <c:pt idx="2">
                  <c:v>Cup lids</c:v>
                </c:pt>
                <c:pt idx="3">
                  <c:v>Vaping devices</c:v>
                </c:pt>
                <c:pt idx="4">
                  <c:v>Bottle caps</c:v>
                </c:pt>
                <c:pt idx="5">
                  <c:v>Plastic bottles</c:v>
                </c:pt>
                <c:pt idx="6">
                  <c:v>Foam trays</c:v>
                </c:pt>
                <c:pt idx="7">
                  <c:v>Tampon applicators</c:v>
                </c:pt>
                <c:pt idx="8">
                  <c:v>Other SUP 1</c:v>
                </c:pt>
                <c:pt idx="9">
                  <c:v>Other SUP 2</c:v>
                </c:pt>
                <c:pt idx="10">
                  <c:v>Other SUP 3</c:v>
                </c:pt>
              </c:strCache>
            </c:strRef>
          </c:cat>
          <c:val>
            <c:numRef>
              <c:f>Wastewater!$F$12:$F$22</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6289-4770-B5FF-353590B38ABF}"/>
            </c:ext>
          </c:extLst>
        </c:ser>
        <c:ser>
          <c:idx val="1"/>
          <c:order val="1"/>
          <c:tx>
            <c:v>Year 2</c:v>
          </c:tx>
          <c:spPr>
            <a:solidFill>
              <a:schemeClr val="accent2"/>
            </a:solidFill>
            <a:ln>
              <a:noFill/>
            </a:ln>
            <a:effectLst/>
          </c:spPr>
          <c:invertIfNegative val="0"/>
          <c:val>
            <c:numRef>
              <c:f>Wastewater!$N$12:$N$22</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6289-4770-B5FF-353590B38ABF}"/>
            </c:ext>
          </c:extLst>
        </c:ser>
        <c:dLbls>
          <c:showLegendKey val="0"/>
          <c:showVal val="0"/>
          <c:showCatName val="0"/>
          <c:showSerName val="0"/>
          <c:showPercent val="0"/>
          <c:showBubbleSize val="0"/>
        </c:dLbls>
        <c:gapWidth val="182"/>
        <c:axId val="44198976"/>
        <c:axId val="44199456"/>
      </c:barChart>
      <c:catAx>
        <c:axId val="441989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99456"/>
        <c:crosses val="autoZero"/>
        <c:auto val="1"/>
        <c:lblAlgn val="ctr"/>
        <c:lblOffset val="100"/>
        <c:noMultiLvlLbl val="0"/>
      </c:catAx>
      <c:valAx>
        <c:axId val="441994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198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withinLinear" id="14">
  <a:schemeClr val="accent1"/>
</cs:colorStyle>
</file>

<file path=xl/charts/colors18.xml><?xml version="1.0" encoding="utf-8"?>
<cs:colorStyle xmlns:cs="http://schemas.microsoft.com/office/drawing/2012/chartStyle" xmlns:a="http://schemas.openxmlformats.org/drawingml/2006/main" meth="withinLinear" id="14">
  <a:schemeClr val="accent1"/>
</cs:colorStyle>
</file>

<file path=xl/charts/colors19.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withinLinear" id="14">
  <a:schemeClr val="accent1"/>
</cs:colorStyle>
</file>

<file path=xl/charts/colors21.xml><?xml version="1.0" encoding="utf-8"?>
<cs:colorStyle xmlns:cs="http://schemas.microsoft.com/office/drawing/2012/chartStyle" xmlns:a="http://schemas.openxmlformats.org/drawingml/2006/main" meth="withinLinear" id="14">
  <a:schemeClr val="accent1"/>
</cs:colorStyle>
</file>

<file path=xl/charts/colors22.xml><?xml version="1.0" encoding="utf-8"?>
<cs:colorStyle xmlns:cs="http://schemas.microsoft.com/office/drawing/2012/chartStyle" xmlns:a="http://schemas.openxmlformats.org/drawingml/2006/main" meth="withinLinear" id="14">
  <a:schemeClr val="accent1"/>
</cs:colorStyle>
</file>

<file path=xl/charts/colors23.xml><?xml version="1.0" encoding="utf-8"?>
<cs:colorStyle xmlns:cs="http://schemas.microsoft.com/office/drawing/2012/chartStyle" xmlns:a="http://schemas.openxmlformats.org/drawingml/2006/main" meth="withinLinear" id="14">
  <a:schemeClr val="accent1"/>
</cs:colorStyle>
</file>

<file path=xl/charts/colors24.xml><?xml version="1.0" encoding="utf-8"?>
<cs:colorStyle xmlns:cs="http://schemas.microsoft.com/office/drawing/2012/chartStyle" xmlns:a="http://schemas.openxmlformats.org/drawingml/2006/main" meth="withinLinear" id="14">
  <a:schemeClr val="accent1"/>
</cs:colorStyle>
</file>

<file path=xl/charts/colors25.xml><?xml version="1.0" encoding="utf-8"?>
<cs:colorStyle xmlns:cs="http://schemas.microsoft.com/office/drawing/2012/chartStyle" xmlns:a="http://schemas.openxmlformats.org/drawingml/2006/main" meth="withinLinear" id="14">
  <a:schemeClr val="accent1"/>
</cs:colorStyle>
</file>

<file path=xl/charts/colors26.xml><?xml version="1.0" encoding="utf-8"?>
<cs:colorStyle xmlns:cs="http://schemas.microsoft.com/office/drawing/2012/chartStyle" xmlns:a="http://schemas.openxmlformats.org/drawingml/2006/main" meth="withinLinear" id="14">
  <a:schemeClr val="accent1"/>
</cs:colorStyle>
</file>

<file path=xl/charts/colors27.xml><?xml version="1.0" encoding="utf-8"?>
<cs:colorStyle xmlns:cs="http://schemas.microsoft.com/office/drawing/2012/chartStyle" xmlns:a="http://schemas.openxmlformats.org/drawingml/2006/main" meth="withinLinear" id="14">
  <a:schemeClr val="accent1"/>
</cs:colorStyle>
</file>

<file path=xl/charts/colors28.xml><?xml version="1.0" encoding="utf-8"?>
<cs:colorStyle xmlns:cs="http://schemas.microsoft.com/office/drawing/2012/chartStyle" xmlns:a="http://schemas.openxmlformats.org/drawingml/2006/main" meth="withinLinear" id="14">
  <a:schemeClr val="accent1"/>
</cs:colorStyle>
</file>

<file path=xl/charts/colors29.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withinLinear" id="14">
  <a:schemeClr val="accent1"/>
</cs:colorStyle>
</file>

<file path=xl/charts/colors31.xml><?xml version="1.0" encoding="utf-8"?>
<cs:colorStyle xmlns:cs="http://schemas.microsoft.com/office/drawing/2012/chartStyle" xmlns:a="http://schemas.openxmlformats.org/drawingml/2006/main" meth="withinLinear" id="14">
  <a:schemeClr val="accent1"/>
</cs:colorStyle>
</file>

<file path=xl/charts/colors32.xml><?xml version="1.0" encoding="utf-8"?>
<cs:colorStyle xmlns:cs="http://schemas.microsoft.com/office/drawing/2012/chartStyle" xmlns:a="http://schemas.openxmlformats.org/drawingml/2006/main" meth="withinLinear" id="14">
  <a:schemeClr val="accent1"/>
</cs:colorStyle>
</file>

<file path=xl/charts/colors33.xml><?xml version="1.0" encoding="utf-8"?>
<cs:colorStyle xmlns:cs="http://schemas.microsoft.com/office/drawing/2012/chartStyle" xmlns:a="http://schemas.openxmlformats.org/drawingml/2006/main" meth="withinLinear" id="14">
  <a:schemeClr val="accent1"/>
</cs:colorStyle>
</file>

<file path=xl/charts/colors34.xml><?xml version="1.0" encoding="utf-8"?>
<cs:colorStyle xmlns:cs="http://schemas.microsoft.com/office/drawing/2012/chartStyle" xmlns:a="http://schemas.openxmlformats.org/drawingml/2006/main" meth="withinLinear" id="14">
  <a:schemeClr val="accent1"/>
</cs:colorStyle>
</file>

<file path=xl/charts/colors35.xml><?xml version="1.0" encoding="utf-8"?>
<cs:colorStyle xmlns:cs="http://schemas.microsoft.com/office/drawing/2012/chartStyle" xmlns:a="http://schemas.openxmlformats.org/drawingml/2006/main" meth="withinLinear" id="14">
  <a:schemeClr val="accent1"/>
</cs:colorStyle>
</file>

<file path=xl/charts/colors36.xml><?xml version="1.0" encoding="utf-8"?>
<cs:colorStyle xmlns:cs="http://schemas.microsoft.com/office/drawing/2012/chartStyle" xmlns:a="http://schemas.openxmlformats.org/drawingml/2006/main" meth="withinLinear" id="14">
  <a:schemeClr val="accent1"/>
</cs:colorStyle>
</file>

<file path=xl/charts/colors37.xml><?xml version="1.0" encoding="utf-8"?>
<cs:colorStyle xmlns:cs="http://schemas.microsoft.com/office/drawing/2012/chartStyle" xmlns:a="http://schemas.openxmlformats.org/drawingml/2006/main" meth="withinLinear" id="14">
  <a:schemeClr val="accent1"/>
</cs:colorStyle>
</file>

<file path=xl/charts/colors38.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8.xml"/><Relationship Id="rId13" Type="http://schemas.openxmlformats.org/officeDocument/2006/relationships/chart" Target="../charts/chart23.xml"/><Relationship Id="rId18" Type="http://schemas.openxmlformats.org/officeDocument/2006/relationships/chart" Target="../charts/chart28.xml"/><Relationship Id="rId26" Type="http://schemas.openxmlformats.org/officeDocument/2006/relationships/chart" Target="../charts/chart36.xml"/><Relationship Id="rId3" Type="http://schemas.openxmlformats.org/officeDocument/2006/relationships/chart" Target="../charts/chart13.xml"/><Relationship Id="rId21" Type="http://schemas.openxmlformats.org/officeDocument/2006/relationships/chart" Target="../charts/chart31.xml"/><Relationship Id="rId7" Type="http://schemas.openxmlformats.org/officeDocument/2006/relationships/chart" Target="../charts/chart17.xml"/><Relationship Id="rId12" Type="http://schemas.openxmlformats.org/officeDocument/2006/relationships/chart" Target="../charts/chart22.xml"/><Relationship Id="rId17" Type="http://schemas.openxmlformats.org/officeDocument/2006/relationships/chart" Target="../charts/chart27.xml"/><Relationship Id="rId25" Type="http://schemas.openxmlformats.org/officeDocument/2006/relationships/chart" Target="../charts/chart35.xml"/><Relationship Id="rId2" Type="http://schemas.openxmlformats.org/officeDocument/2006/relationships/chart" Target="../charts/chart12.xml"/><Relationship Id="rId16" Type="http://schemas.openxmlformats.org/officeDocument/2006/relationships/chart" Target="../charts/chart26.xml"/><Relationship Id="rId20" Type="http://schemas.openxmlformats.org/officeDocument/2006/relationships/chart" Target="../charts/chart30.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24" Type="http://schemas.openxmlformats.org/officeDocument/2006/relationships/chart" Target="../charts/chart34.xml"/><Relationship Id="rId5" Type="http://schemas.openxmlformats.org/officeDocument/2006/relationships/chart" Target="../charts/chart15.xml"/><Relationship Id="rId15" Type="http://schemas.openxmlformats.org/officeDocument/2006/relationships/chart" Target="../charts/chart25.xml"/><Relationship Id="rId23" Type="http://schemas.openxmlformats.org/officeDocument/2006/relationships/chart" Target="../charts/chart33.xml"/><Relationship Id="rId28" Type="http://schemas.openxmlformats.org/officeDocument/2006/relationships/chart" Target="../charts/chart38.xml"/><Relationship Id="rId10" Type="http://schemas.openxmlformats.org/officeDocument/2006/relationships/chart" Target="../charts/chart20.xml"/><Relationship Id="rId19" Type="http://schemas.openxmlformats.org/officeDocument/2006/relationships/chart" Target="../charts/chart29.xml"/><Relationship Id="rId4" Type="http://schemas.openxmlformats.org/officeDocument/2006/relationships/chart" Target="../charts/chart14.xml"/><Relationship Id="rId9" Type="http://schemas.openxmlformats.org/officeDocument/2006/relationships/chart" Target="../charts/chart19.xml"/><Relationship Id="rId14" Type="http://schemas.openxmlformats.org/officeDocument/2006/relationships/chart" Target="../charts/chart24.xml"/><Relationship Id="rId22" Type="http://schemas.openxmlformats.org/officeDocument/2006/relationships/chart" Target="../charts/chart32.xml"/><Relationship Id="rId27" Type="http://schemas.openxmlformats.org/officeDocument/2006/relationships/chart" Target="../charts/chart37.xml"/></Relationships>
</file>

<file path=xl/drawings/drawing1.xml><?xml version="1.0" encoding="utf-8"?>
<xdr:wsDr xmlns:xdr="http://schemas.openxmlformats.org/drawingml/2006/spreadsheetDrawing" xmlns:a="http://schemas.openxmlformats.org/drawingml/2006/main">
  <xdr:twoCellAnchor editAs="oneCell">
    <xdr:from>
      <xdr:col>3</xdr:col>
      <xdr:colOff>380033</xdr:colOff>
      <xdr:row>4</xdr:row>
      <xdr:rowOff>23329</xdr:rowOff>
    </xdr:from>
    <xdr:to>
      <xdr:col>8</xdr:col>
      <xdr:colOff>550986</xdr:colOff>
      <xdr:row>6</xdr:row>
      <xdr:rowOff>259079</xdr:rowOff>
    </xdr:to>
    <xdr:pic>
      <xdr:nvPicPr>
        <xdr:cNvPr id="2" name="Picture 1">
          <a:extLst>
            <a:ext uri="{FF2B5EF4-FFF2-40B4-BE49-F238E27FC236}">
              <a16:creationId xmlns:a16="http://schemas.microsoft.com/office/drawing/2014/main" id="{4B009844-999E-4FB9-B76E-79042F0479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06011" y="1414807"/>
          <a:ext cx="2034540" cy="868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124929</xdr:colOff>
      <xdr:row>0</xdr:row>
      <xdr:rowOff>155575</xdr:rowOff>
    </xdr:from>
    <xdr:to>
      <xdr:col>14</xdr:col>
      <xdr:colOff>202828</xdr:colOff>
      <xdr:row>3</xdr:row>
      <xdr:rowOff>8973</xdr:rowOff>
    </xdr:to>
    <xdr:pic>
      <xdr:nvPicPr>
        <xdr:cNvPr id="4" name="Picture 3">
          <a:extLst>
            <a:ext uri="{FF2B5EF4-FFF2-40B4-BE49-F238E27FC236}">
              <a16:creationId xmlns:a16="http://schemas.microsoft.com/office/drawing/2014/main" id="{1543C4CC-E676-2CEB-C509-8A3AE74CFC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50907" y="155575"/>
          <a:ext cx="5615789" cy="974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19423</xdr:colOff>
      <xdr:row>91</xdr:row>
      <xdr:rowOff>64993</xdr:rowOff>
    </xdr:from>
    <xdr:to>
      <xdr:col>5</xdr:col>
      <xdr:colOff>2218951</xdr:colOff>
      <xdr:row>109</xdr:row>
      <xdr:rowOff>123638</xdr:rowOff>
    </xdr:to>
    <xdr:graphicFrame macro="">
      <xdr:nvGraphicFramePr>
        <xdr:cNvPr id="13" name="ResWeightChart">
          <a:extLst>
            <a:ext uri="{FF2B5EF4-FFF2-40B4-BE49-F238E27FC236}">
              <a16:creationId xmlns:a16="http://schemas.microsoft.com/office/drawing/2014/main" id="{1D8A6436-D757-35DC-4CC3-05F5B11895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182469</xdr:colOff>
      <xdr:row>91</xdr:row>
      <xdr:rowOff>69662</xdr:rowOff>
    </xdr:from>
    <xdr:to>
      <xdr:col>12</xdr:col>
      <xdr:colOff>2277969</xdr:colOff>
      <xdr:row>109</xdr:row>
      <xdr:rowOff>131482</xdr:rowOff>
    </xdr:to>
    <xdr:graphicFrame macro="">
      <xdr:nvGraphicFramePr>
        <xdr:cNvPr id="14" name="ResCostChart">
          <a:extLst>
            <a:ext uri="{FF2B5EF4-FFF2-40B4-BE49-F238E27FC236}">
              <a16:creationId xmlns:a16="http://schemas.microsoft.com/office/drawing/2014/main" id="{FB083D7F-8293-880B-A36E-4B7017895F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111</xdr:row>
      <xdr:rowOff>28574</xdr:rowOff>
    </xdr:from>
    <xdr:to>
      <xdr:col>6</xdr:col>
      <xdr:colOff>0</xdr:colOff>
      <xdr:row>127</xdr:row>
      <xdr:rowOff>79374</xdr:rowOff>
    </xdr:to>
    <xdr:graphicFrame macro="">
      <xdr:nvGraphicFramePr>
        <xdr:cNvPr id="2" name="ResWeightChart2">
          <a:extLst>
            <a:ext uri="{FF2B5EF4-FFF2-40B4-BE49-F238E27FC236}">
              <a16:creationId xmlns:a16="http://schemas.microsoft.com/office/drawing/2014/main" id="{AF70C52B-5362-EE8A-F2A3-973136257B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19050</xdr:colOff>
      <xdr:row>111</xdr:row>
      <xdr:rowOff>31749</xdr:rowOff>
    </xdr:from>
    <xdr:to>
      <xdr:col>13</xdr:col>
      <xdr:colOff>209550</xdr:colOff>
      <xdr:row>127</xdr:row>
      <xdr:rowOff>76199</xdr:rowOff>
    </xdr:to>
    <xdr:graphicFrame macro="">
      <xdr:nvGraphicFramePr>
        <xdr:cNvPr id="3" name="ResCostChart2">
          <a:extLst>
            <a:ext uri="{FF2B5EF4-FFF2-40B4-BE49-F238E27FC236}">
              <a16:creationId xmlns:a16="http://schemas.microsoft.com/office/drawing/2014/main" id="{CC5102C7-E3D8-956F-EBB8-DD19EF6F36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102347</xdr:colOff>
      <xdr:row>91</xdr:row>
      <xdr:rowOff>79002</xdr:rowOff>
    </xdr:from>
    <xdr:to>
      <xdr:col>5</xdr:col>
      <xdr:colOff>2279463</xdr:colOff>
      <xdr:row>109</xdr:row>
      <xdr:rowOff>134471</xdr:rowOff>
    </xdr:to>
    <xdr:graphicFrame macro="">
      <xdr:nvGraphicFramePr>
        <xdr:cNvPr id="10" name="ComWeightChart">
          <a:extLst>
            <a:ext uri="{FF2B5EF4-FFF2-40B4-BE49-F238E27FC236}">
              <a16:creationId xmlns:a16="http://schemas.microsoft.com/office/drawing/2014/main" id="{AAE194C7-DFF8-8FEE-EAAC-EEE3B07172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17556</xdr:colOff>
      <xdr:row>91</xdr:row>
      <xdr:rowOff>88527</xdr:rowOff>
    </xdr:from>
    <xdr:to>
      <xdr:col>13</xdr:col>
      <xdr:colOff>27081</xdr:colOff>
      <xdr:row>109</xdr:row>
      <xdr:rowOff>143996</xdr:rowOff>
    </xdr:to>
    <xdr:graphicFrame macro="">
      <xdr:nvGraphicFramePr>
        <xdr:cNvPr id="11" name="ComCostChart">
          <a:extLst>
            <a:ext uri="{FF2B5EF4-FFF2-40B4-BE49-F238E27FC236}">
              <a16:creationId xmlns:a16="http://schemas.microsoft.com/office/drawing/2014/main" id="{7715E91B-0D89-837D-4F66-494FB5A6DC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111</xdr:row>
      <xdr:rowOff>76199</xdr:rowOff>
    </xdr:from>
    <xdr:to>
      <xdr:col>6</xdr:col>
      <xdr:colOff>9525</xdr:colOff>
      <xdr:row>127</xdr:row>
      <xdr:rowOff>123824</xdr:rowOff>
    </xdr:to>
    <xdr:graphicFrame macro="">
      <xdr:nvGraphicFramePr>
        <xdr:cNvPr id="2" name="ComWeightChart2">
          <a:extLst>
            <a:ext uri="{FF2B5EF4-FFF2-40B4-BE49-F238E27FC236}">
              <a16:creationId xmlns:a16="http://schemas.microsoft.com/office/drawing/2014/main" id="{6032AE04-0EC9-64BB-3C44-E73F21E977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47625</xdr:colOff>
      <xdr:row>111</xdr:row>
      <xdr:rowOff>66674</xdr:rowOff>
    </xdr:from>
    <xdr:to>
      <xdr:col>13</xdr:col>
      <xdr:colOff>76200</xdr:colOff>
      <xdr:row>127</xdr:row>
      <xdr:rowOff>117474</xdr:rowOff>
    </xdr:to>
    <xdr:graphicFrame macro="">
      <xdr:nvGraphicFramePr>
        <xdr:cNvPr id="3" name="ComCostChart2">
          <a:extLst>
            <a:ext uri="{FF2B5EF4-FFF2-40B4-BE49-F238E27FC236}">
              <a16:creationId xmlns:a16="http://schemas.microsoft.com/office/drawing/2014/main" id="{12909E03-C716-97FF-5815-7EF229175D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45</xdr:row>
      <xdr:rowOff>76200</xdr:rowOff>
    </xdr:from>
    <xdr:to>
      <xdr:col>7</xdr:col>
      <xdr:colOff>25400</xdr:colOff>
      <xdr:row>61</xdr:row>
      <xdr:rowOff>123825</xdr:rowOff>
    </xdr:to>
    <xdr:graphicFrame macro="">
      <xdr:nvGraphicFramePr>
        <xdr:cNvPr id="6" name="Chart 5">
          <a:extLst>
            <a:ext uri="{FF2B5EF4-FFF2-40B4-BE49-F238E27FC236}">
              <a16:creationId xmlns:a16="http://schemas.microsoft.com/office/drawing/2014/main" id="{0C73F617-8B8E-BEEC-57DD-59FE24EFA2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3173</xdr:colOff>
      <xdr:row>45</xdr:row>
      <xdr:rowOff>76200</xdr:rowOff>
    </xdr:from>
    <xdr:to>
      <xdr:col>15</xdr:col>
      <xdr:colOff>19049</xdr:colOff>
      <xdr:row>61</xdr:row>
      <xdr:rowOff>123825</xdr:rowOff>
    </xdr:to>
    <xdr:graphicFrame macro="">
      <xdr:nvGraphicFramePr>
        <xdr:cNvPr id="7" name="Chart 6">
          <a:extLst>
            <a:ext uri="{FF2B5EF4-FFF2-40B4-BE49-F238E27FC236}">
              <a16:creationId xmlns:a16="http://schemas.microsoft.com/office/drawing/2014/main" id="{A8C2B477-E0BA-8EEC-68AC-A828A62115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4856</xdr:colOff>
      <xdr:row>45</xdr:row>
      <xdr:rowOff>177613</xdr:rowOff>
    </xdr:from>
    <xdr:to>
      <xdr:col>6</xdr:col>
      <xdr:colOff>808131</xdr:colOff>
      <xdr:row>61</xdr:row>
      <xdr:rowOff>151855</xdr:rowOff>
    </xdr:to>
    <xdr:graphicFrame macro="">
      <xdr:nvGraphicFramePr>
        <xdr:cNvPr id="150" name="Chart 149">
          <a:extLst>
            <a:ext uri="{FF2B5EF4-FFF2-40B4-BE49-F238E27FC236}">
              <a16:creationId xmlns:a16="http://schemas.microsoft.com/office/drawing/2014/main" id="{0AB0E592-AC36-4E01-434E-D374EEBBDD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800100</xdr:colOff>
      <xdr:row>46</xdr:row>
      <xdr:rowOff>9524</xdr:rowOff>
    </xdr:from>
    <xdr:to>
      <xdr:col>15</xdr:col>
      <xdr:colOff>863600</xdr:colOff>
      <xdr:row>61</xdr:row>
      <xdr:rowOff>161925</xdr:rowOff>
    </xdr:to>
    <xdr:graphicFrame macro="">
      <xdr:nvGraphicFramePr>
        <xdr:cNvPr id="151" name="Chart 150">
          <a:extLst>
            <a:ext uri="{FF2B5EF4-FFF2-40B4-BE49-F238E27FC236}">
              <a16:creationId xmlns:a16="http://schemas.microsoft.com/office/drawing/2014/main" id="{4B1DFBF9-E463-41F3-1715-98E62ACB5B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63</xdr:row>
      <xdr:rowOff>28574</xdr:rowOff>
    </xdr:from>
    <xdr:to>
      <xdr:col>6</xdr:col>
      <xdr:colOff>800100</xdr:colOff>
      <xdr:row>79</xdr:row>
      <xdr:rowOff>171450</xdr:rowOff>
    </xdr:to>
    <xdr:graphicFrame macro="">
      <xdr:nvGraphicFramePr>
        <xdr:cNvPr id="152" name="Chart 151">
          <a:extLst>
            <a:ext uri="{FF2B5EF4-FFF2-40B4-BE49-F238E27FC236}">
              <a16:creationId xmlns:a16="http://schemas.microsoft.com/office/drawing/2014/main" id="{E43237FF-BE37-F62E-19E9-1F9F831A95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787400</xdr:colOff>
      <xdr:row>63</xdr:row>
      <xdr:rowOff>31750</xdr:rowOff>
    </xdr:from>
    <xdr:to>
      <xdr:col>15</xdr:col>
      <xdr:colOff>866775</xdr:colOff>
      <xdr:row>79</xdr:row>
      <xdr:rowOff>171451</xdr:rowOff>
    </xdr:to>
    <xdr:graphicFrame macro="">
      <xdr:nvGraphicFramePr>
        <xdr:cNvPr id="153" name="Chart 152">
          <a:extLst>
            <a:ext uri="{FF2B5EF4-FFF2-40B4-BE49-F238E27FC236}">
              <a16:creationId xmlns:a16="http://schemas.microsoft.com/office/drawing/2014/main" id="{4FD47D3A-C07A-B4A5-17BE-A37BF92DB1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22412</xdr:colOff>
      <xdr:row>81</xdr:row>
      <xdr:rowOff>57056</xdr:rowOff>
    </xdr:from>
    <xdr:to>
      <xdr:col>6</xdr:col>
      <xdr:colOff>793937</xdr:colOff>
      <xdr:row>98</xdr:row>
      <xdr:rowOff>168088</xdr:rowOff>
    </xdr:to>
    <xdr:graphicFrame macro="">
      <xdr:nvGraphicFramePr>
        <xdr:cNvPr id="4" name="Chart 3">
          <a:extLst>
            <a:ext uri="{FF2B5EF4-FFF2-40B4-BE49-F238E27FC236}">
              <a16:creationId xmlns:a16="http://schemas.microsoft.com/office/drawing/2014/main" id="{913A4E1F-D031-093D-46FD-38112A42CE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809625</xdr:colOff>
      <xdr:row>81</xdr:row>
      <xdr:rowOff>57150</xdr:rowOff>
    </xdr:from>
    <xdr:to>
      <xdr:col>16</xdr:col>
      <xdr:colOff>28577</xdr:colOff>
      <xdr:row>99</xdr:row>
      <xdr:rowOff>10619</xdr:rowOff>
    </xdr:to>
    <xdr:graphicFrame macro="">
      <xdr:nvGraphicFramePr>
        <xdr:cNvPr id="6" name="Chart 5">
          <a:extLst>
            <a:ext uri="{FF2B5EF4-FFF2-40B4-BE49-F238E27FC236}">
              <a16:creationId xmlns:a16="http://schemas.microsoft.com/office/drawing/2014/main" id="{00460D00-881A-4313-BB0B-1AD0E961D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445189</xdr:colOff>
      <xdr:row>117</xdr:row>
      <xdr:rowOff>28219</xdr:rowOff>
    </xdr:from>
    <xdr:to>
      <xdr:col>4</xdr:col>
      <xdr:colOff>113868</xdr:colOff>
      <xdr:row>132</xdr:row>
      <xdr:rowOff>83450</xdr:rowOff>
    </xdr:to>
    <xdr:graphicFrame macro="">
      <xdr:nvGraphicFramePr>
        <xdr:cNvPr id="32" name="Chart 31">
          <a:extLst>
            <a:ext uri="{FF2B5EF4-FFF2-40B4-BE49-F238E27FC236}">
              <a16:creationId xmlns:a16="http://schemas.microsoft.com/office/drawing/2014/main" id="{1260C772-C5BC-4AD9-867A-8EB0CCDDCD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104796</xdr:colOff>
      <xdr:row>117</xdr:row>
      <xdr:rowOff>26022</xdr:rowOff>
    </xdr:from>
    <xdr:to>
      <xdr:col>10</xdr:col>
      <xdr:colOff>287825</xdr:colOff>
      <xdr:row>132</xdr:row>
      <xdr:rowOff>87603</xdr:rowOff>
    </xdr:to>
    <xdr:graphicFrame macro="">
      <xdr:nvGraphicFramePr>
        <xdr:cNvPr id="36" name="Chart 35">
          <a:extLst>
            <a:ext uri="{FF2B5EF4-FFF2-40B4-BE49-F238E27FC236}">
              <a16:creationId xmlns:a16="http://schemas.microsoft.com/office/drawing/2014/main" id="{DDD29DB1-366B-402F-A568-67E162D9F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440102</xdr:colOff>
      <xdr:row>132</xdr:row>
      <xdr:rowOff>96784</xdr:rowOff>
    </xdr:from>
    <xdr:to>
      <xdr:col>4</xdr:col>
      <xdr:colOff>111956</xdr:colOff>
      <xdr:row>147</xdr:row>
      <xdr:rowOff>151108</xdr:rowOff>
    </xdr:to>
    <xdr:graphicFrame macro="">
      <xdr:nvGraphicFramePr>
        <xdr:cNvPr id="38" name="Chart 37">
          <a:extLst>
            <a:ext uri="{FF2B5EF4-FFF2-40B4-BE49-F238E27FC236}">
              <a16:creationId xmlns:a16="http://schemas.microsoft.com/office/drawing/2014/main" id="{B1938F39-5300-4913-995A-15480B8FE3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98205</xdr:colOff>
      <xdr:row>132</xdr:row>
      <xdr:rowOff>96784</xdr:rowOff>
    </xdr:from>
    <xdr:to>
      <xdr:col>10</xdr:col>
      <xdr:colOff>306634</xdr:colOff>
      <xdr:row>147</xdr:row>
      <xdr:rowOff>163808</xdr:rowOff>
    </xdr:to>
    <xdr:graphicFrame macro="">
      <xdr:nvGraphicFramePr>
        <xdr:cNvPr id="39" name="Chart 38">
          <a:extLst>
            <a:ext uri="{FF2B5EF4-FFF2-40B4-BE49-F238E27FC236}">
              <a16:creationId xmlns:a16="http://schemas.microsoft.com/office/drawing/2014/main" id="{E1D553CD-A441-4BEC-B5FC-C698D7FF38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293362</xdr:colOff>
      <xdr:row>132</xdr:row>
      <xdr:rowOff>87282</xdr:rowOff>
    </xdr:from>
    <xdr:to>
      <xdr:col>15</xdr:col>
      <xdr:colOff>428766</xdr:colOff>
      <xdr:row>147</xdr:row>
      <xdr:rowOff>171088</xdr:rowOff>
    </xdr:to>
    <xdr:graphicFrame macro="">
      <xdr:nvGraphicFramePr>
        <xdr:cNvPr id="40" name="Chart 39">
          <a:extLst>
            <a:ext uri="{FF2B5EF4-FFF2-40B4-BE49-F238E27FC236}">
              <a16:creationId xmlns:a16="http://schemas.microsoft.com/office/drawing/2014/main" id="{19A46C65-B841-4561-A476-D5C03C9220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447674</xdr:colOff>
      <xdr:row>147</xdr:row>
      <xdr:rowOff>162482</xdr:rowOff>
    </xdr:from>
    <xdr:to>
      <xdr:col>4</xdr:col>
      <xdr:colOff>125878</xdr:colOff>
      <xdr:row>163</xdr:row>
      <xdr:rowOff>39913</xdr:rowOff>
    </xdr:to>
    <xdr:graphicFrame macro="">
      <xdr:nvGraphicFramePr>
        <xdr:cNvPr id="41" name="Chart 40">
          <a:extLst>
            <a:ext uri="{FF2B5EF4-FFF2-40B4-BE49-F238E27FC236}">
              <a16:creationId xmlns:a16="http://schemas.microsoft.com/office/drawing/2014/main" id="{22B90C86-A19A-4EDD-9CC8-16510F6F59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102821</xdr:colOff>
      <xdr:row>147</xdr:row>
      <xdr:rowOff>151980</xdr:rowOff>
    </xdr:from>
    <xdr:to>
      <xdr:col>10</xdr:col>
      <xdr:colOff>304900</xdr:colOff>
      <xdr:row>163</xdr:row>
      <xdr:rowOff>26236</xdr:rowOff>
    </xdr:to>
    <xdr:graphicFrame macro="">
      <xdr:nvGraphicFramePr>
        <xdr:cNvPr id="42" name="Chart 41">
          <a:extLst>
            <a:ext uri="{FF2B5EF4-FFF2-40B4-BE49-F238E27FC236}">
              <a16:creationId xmlns:a16="http://schemas.microsoft.com/office/drawing/2014/main" id="{65AA8384-0E16-492A-B873-05FD406D10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452097</xdr:colOff>
      <xdr:row>101</xdr:row>
      <xdr:rowOff>140148</xdr:rowOff>
    </xdr:from>
    <xdr:to>
      <xdr:col>4</xdr:col>
      <xdr:colOff>110147</xdr:colOff>
      <xdr:row>117</xdr:row>
      <xdr:rowOff>30279</xdr:rowOff>
    </xdr:to>
    <xdr:graphicFrame macro="">
      <xdr:nvGraphicFramePr>
        <xdr:cNvPr id="43" name="Chart 42">
          <a:extLst>
            <a:ext uri="{FF2B5EF4-FFF2-40B4-BE49-F238E27FC236}">
              <a16:creationId xmlns:a16="http://schemas.microsoft.com/office/drawing/2014/main" id="{C7AA0614-8348-1715-EFDF-C36BFA483E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105848</xdr:colOff>
      <xdr:row>101</xdr:row>
      <xdr:rowOff>141542</xdr:rowOff>
    </xdr:from>
    <xdr:to>
      <xdr:col>10</xdr:col>
      <xdr:colOff>295227</xdr:colOff>
      <xdr:row>117</xdr:row>
      <xdr:rowOff>31673</xdr:rowOff>
    </xdr:to>
    <xdr:graphicFrame macro="">
      <xdr:nvGraphicFramePr>
        <xdr:cNvPr id="44" name="Chart 43">
          <a:extLst>
            <a:ext uri="{FF2B5EF4-FFF2-40B4-BE49-F238E27FC236}">
              <a16:creationId xmlns:a16="http://schemas.microsoft.com/office/drawing/2014/main" id="{1F217CDB-1FA9-5E72-9803-4B37595677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296350</xdr:colOff>
      <xdr:row>101</xdr:row>
      <xdr:rowOff>141967</xdr:rowOff>
    </xdr:from>
    <xdr:to>
      <xdr:col>15</xdr:col>
      <xdr:colOff>425404</xdr:colOff>
      <xdr:row>117</xdr:row>
      <xdr:rowOff>35273</xdr:rowOff>
    </xdr:to>
    <xdr:graphicFrame macro="">
      <xdr:nvGraphicFramePr>
        <xdr:cNvPr id="45" name="Chart 44">
          <a:extLst>
            <a:ext uri="{FF2B5EF4-FFF2-40B4-BE49-F238E27FC236}">
              <a16:creationId xmlns:a16="http://schemas.microsoft.com/office/drawing/2014/main" id="{BD4E1D4D-977F-24D6-2FD6-408CC1C4A2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294942</xdr:colOff>
      <xdr:row>117</xdr:row>
      <xdr:rowOff>29198</xdr:rowOff>
    </xdr:from>
    <xdr:to>
      <xdr:col>15</xdr:col>
      <xdr:colOff>423996</xdr:colOff>
      <xdr:row>132</xdr:row>
      <xdr:rowOff>84429</xdr:rowOff>
    </xdr:to>
    <xdr:graphicFrame macro="">
      <xdr:nvGraphicFramePr>
        <xdr:cNvPr id="46" name="Chart 45">
          <a:extLst>
            <a:ext uri="{FF2B5EF4-FFF2-40B4-BE49-F238E27FC236}">
              <a16:creationId xmlns:a16="http://schemas.microsoft.com/office/drawing/2014/main" id="{E273BB5E-03BA-B5F1-0300-981CAFF104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407089</xdr:colOff>
      <xdr:row>182</xdr:row>
      <xdr:rowOff>59969</xdr:rowOff>
    </xdr:from>
    <xdr:to>
      <xdr:col>4</xdr:col>
      <xdr:colOff>75768</xdr:colOff>
      <xdr:row>197</xdr:row>
      <xdr:rowOff>121550</xdr:rowOff>
    </xdr:to>
    <xdr:graphicFrame macro="">
      <xdr:nvGraphicFramePr>
        <xdr:cNvPr id="2" name="Chart 1">
          <a:extLst>
            <a:ext uri="{FF2B5EF4-FFF2-40B4-BE49-F238E27FC236}">
              <a16:creationId xmlns:a16="http://schemas.microsoft.com/office/drawing/2014/main" id="{0001115C-94E1-419B-8F9E-87B31D6CD2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66696</xdr:colOff>
      <xdr:row>182</xdr:row>
      <xdr:rowOff>57772</xdr:rowOff>
    </xdr:from>
    <xdr:to>
      <xdr:col>10</xdr:col>
      <xdr:colOff>249725</xdr:colOff>
      <xdr:row>197</xdr:row>
      <xdr:rowOff>125703</xdr:rowOff>
    </xdr:to>
    <xdr:graphicFrame macro="">
      <xdr:nvGraphicFramePr>
        <xdr:cNvPr id="3" name="Chart 2">
          <a:extLst>
            <a:ext uri="{FF2B5EF4-FFF2-40B4-BE49-F238E27FC236}">
              <a16:creationId xmlns:a16="http://schemas.microsoft.com/office/drawing/2014/main" id="{04C1FBE5-1245-43FA-8C87-5369A4993E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402002</xdr:colOff>
      <xdr:row>197</xdr:row>
      <xdr:rowOff>134884</xdr:rowOff>
    </xdr:from>
    <xdr:to>
      <xdr:col>4</xdr:col>
      <xdr:colOff>73856</xdr:colOff>
      <xdr:row>212</xdr:row>
      <xdr:rowOff>189208</xdr:rowOff>
    </xdr:to>
    <xdr:graphicFrame macro="">
      <xdr:nvGraphicFramePr>
        <xdr:cNvPr id="5" name="Chart 4">
          <a:extLst>
            <a:ext uri="{FF2B5EF4-FFF2-40B4-BE49-F238E27FC236}">
              <a16:creationId xmlns:a16="http://schemas.microsoft.com/office/drawing/2014/main" id="{42CE1CA7-54A0-4422-8541-99D4B9E935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60105</xdr:colOff>
      <xdr:row>197</xdr:row>
      <xdr:rowOff>134884</xdr:rowOff>
    </xdr:from>
    <xdr:to>
      <xdr:col>10</xdr:col>
      <xdr:colOff>268534</xdr:colOff>
      <xdr:row>213</xdr:row>
      <xdr:rowOff>11408</xdr:rowOff>
    </xdr:to>
    <xdr:graphicFrame macro="">
      <xdr:nvGraphicFramePr>
        <xdr:cNvPr id="7" name="Chart 6">
          <a:extLst>
            <a:ext uri="{FF2B5EF4-FFF2-40B4-BE49-F238E27FC236}">
              <a16:creationId xmlns:a16="http://schemas.microsoft.com/office/drawing/2014/main" id="{2AF29B62-7D30-4797-A354-B699C6D0D4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255262</xdr:colOff>
      <xdr:row>197</xdr:row>
      <xdr:rowOff>125382</xdr:rowOff>
    </xdr:from>
    <xdr:to>
      <xdr:col>15</xdr:col>
      <xdr:colOff>390666</xdr:colOff>
      <xdr:row>213</xdr:row>
      <xdr:rowOff>18688</xdr:rowOff>
    </xdr:to>
    <xdr:graphicFrame macro="">
      <xdr:nvGraphicFramePr>
        <xdr:cNvPr id="8" name="Chart 7">
          <a:extLst>
            <a:ext uri="{FF2B5EF4-FFF2-40B4-BE49-F238E27FC236}">
              <a16:creationId xmlns:a16="http://schemas.microsoft.com/office/drawing/2014/main" id="{9A4646C8-8ACA-49E1-8604-554C4E7EE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409574</xdr:colOff>
      <xdr:row>213</xdr:row>
      <xdr:rowOff>10082</xdr:rowOff>
    </xdr:from>
    <xdr:to>
      <xdr:col>4</xdr:col>
      <xdr:colOff>87778</xdr:colOff>
      <xdr:row>228</xdr:row>
      <xdr:rowOff>78013</xdr:rowOff>
    </xdr:to>
    <xdr:graphicFrame macro="">
      <xdr:nvGraphicFramePr>
        <xdr:cNvPr id="9" name="Chart 8">
          <a:extLst>
            <a:ext uri="{FF2B5EF4-FFF2-40B4-BE49-F238E27FC236}">
              <a16:creationId xmlns:a16="http://schemas.microsoft.com/office/drawing/2014/main" id="{7751219F-F54A-451F-8ADF-69C0A61D6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64721</xdr:colOff>
      <xdr:row>212</xdr:row>
      <xdr:rowOff>190080</xdr:rowOff>
    </xdr:from>
    <xdr:to>
      <xdr:col>10</xdr:col>
      <xdr:colOff>266800</xdr:colOff>
      <xdr:row>228</xdr:row>
      <xdr:rowOff>57986</xdr:rowOff>
    </xdr:to>
    <xdr:graphicFrame macro="">
      <xdr:nvGraphicFramePr>
        <xdr:cNvPr id="10" name="Chart 9">
          <a:extLst>
            <a:ext uri="{FF2B5EF4-FFF2-40B4-BE49-F238E27FC236}">
              <a16:creationId xmlns:a16="http://schemas.microsoft.com/office/drawing/2014/main" id="{EDBF3B57-65DE-4FF7-93E7-4A52D8C464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407647</xdr:colOff>
      <xdr:row>166</xdr:row>
      <xdr:rowOff>178248</xdr:rowOff>
    </xdr:from>
    <xdr:to>
      <xdr:col>4</xdr:col>
      <xdr:colOff>65697</xdr:colOff>
      <xdr:row>182</xdr:row>
      <xdr:rowOff>55679</xdr:rowOff>
    </xdr:to>
    <xdr:graphicFrame macro="">
      <xdr:nvGraphicFramePr>
        <xdr:cNvPr id="11" name="Chart 10">
          <a:extLst>
            <a:ext uri="{FF2B5EF4-FFF2-40B4-BE49-F238E27FC236}">
              <a16:creationId xmlns:a16="http://schemas.microsoft.com/office/drawing/2014/main" id="{76E17A89-6161-4725-823E-9052D6395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xdr:col>
      <xdr:colOff>67748</xdr:colOff>
      <xdr:row>166</xdr:row>
      <xdr:rowOff>179642</xdr:rowOff>
    </xdr:from>
    <xdr:to>
      <xdr:col>10</xdr:col>
      <xdr:colOff>257127</xdr:colOff>
      <xdr:row>182</xdr:row>
      <xdr:rowOff>57073</xdr:rowOff>
    </xdr:to>
    <xdr:graphicFrame macro="">
      <xdr:nvGraphicFramePr>
        <xdr:cNvPr id="12" name="Chart 11">
          <a:extLst>
            <a:ext uri="{FF2B5EF4-FFF2-40B4-BE49-F238E27FC236}">
              <a16:creationId xmlns:a16="http://schemas.microsoft.com/office/drawing/2014/main" id="{93472CC7-2D98-4A99-8340-E5BF9FA8B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10</xdr:col>
      <xdr:colOff>258250</xdr:colOff>
      <xdr:row>166</xdr:row>
      <xdr:rowOff>180067</xdr:rowOff>
    </xdr:from>
    <xdr:to>
      <xdr:col>15</xdr:col>
      <xdr:colOff>393654</xdr:colOff>
      <xdr:row>182</xdr:row>
      <xdr:rowOff>67023</xdr:rowOff>
    </xdr:to>
    <xdr:graphicFrame macro="">
      <xdr:nvGraphicFramePr>
        <xdr:cNvPr id="13" name="Chart 12">
          <a:extLst>
            <a:ext uri="{FF2B5EF4-FFF2-40B4-BE49-F238E27FC236}">
              <a16:creationId xmlns:a16="http://schemas.microsoft.com/office/drawing/2014/main" id="{76107009-F6E0-42F0-9576-2FF0924567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xdr:col>
      <xdr:colOff>256842</xdr:colOff>
      <xdr:row>182</xdr:row>
      <xdr:rowOff>54598</xdr:rowOff>
    </xdr:from>
    <xdr:to>
      <xdr:col>15</xdr:col>
      <xdr:colOff>392246</xdr:colOff>
      <xdr:row>197</xdr:row>
      <xdr:rowOff>122529</xdr:rowOff>
    </xdr:to>
    <xdr:graphicFrame macro="">
      <xdr:nvGraphicFramePr>
        <xdr:cNvPr id="14" name="Chart 13">
          <a:extLst>
            <a:ext uri="{FF2B5EF4-FFF2-40B4-BE49-F238E27FC236}">
              <a16:creationId xmlns:a16="http://schemas.microsoft.com/office/drawing/2014/main" id="{0D15E31A-CA83-4974-AA4E-81E125D0A6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iisd.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8CD34-9E81-419C-BCE3-D217620EBBD4}">
  <sheetPr>
    <tabColor rgb="FF29C3EC"/>
  </sheetPr>
  <dimension ref="A1:C120"/>
  <sheetViews>
    <sheetView showGridLines="0" topLeftCell="A112" zoomScale="75" zoomScaleNormal="100" workbookViewId="0">
      <selection activeCell="C56" sqref="C56"/>
    </sheetView>
  </sheetViews>
  <sheetFormatPr defaultRowHeight="14.5" x14ac:dyDescent="0.35"/>
  <cols>
    <col min="1" max="1" width="22.08984375" customWidth="1"/>
    <col min="2" max="2" width="73.08984375" customWidth="1"/>
    <col min="3" max="3" width="58.08984375" customWidth="1"/>
    <col min="4" max="4" width="18.08984375" customWidth="1"/>
    <col min="5" max="8" width="2.08984375" customWidth="1"/>
  </cols>
  <sheetData>
    <row r="1" spans="1:3" ht="38.15" customHeight="1" x14ac:dyDescent="0.35">
      <c r="A1" s="241" t="s">
        <v>0</v>
      </c>
      <c r="B1" s="241"/>
      <c r="C1" s="241"/>
    </row>
    <row r="2" spans="1:3" ht="27.9" customHeight="1" x14ac:dyDescent="0.35">
      <c r="A2" s="242" t="s">
        <v>1</v>
      </c>
      <c r="B2" s="242"/>
      <c r="C2" s="242"/>
    </row>
    <row r="3" spans="1:3" ht="21.9" customHeight="1" x14ac:dyDescent="0.35">
      <c r="A3" s="246"/>
      <c r="B3" s="247"/>
      <c r="C3" s="247"/>
    </row>
    <row r="4" spans="1:3" ht="21.9" customHeight="1" x14ac:dyDescent="0.35">
      <c r="A4" s="86" t="s">
        <v>2</v>
      </c>
      <c r="B4" s="86" t="s">
        <v>3</v>
      </c>
      <c r="C4" s="87"/>
    </row>
    <row r="5" spans="1:3" ht="21.9" customHeight="1" x14ac:dyDescent="0.35">
      <c r="A5" s="25"/>
      <c r="B5" s="25"/>
      <c r="C5" s="25"/>
    </row>
    <row r="6" spans="1:3" ht="27.9" customHeight="1" x14ac:dyDescent="0.35">
      <c r="A6" s="243" t="s">
        <v>4</v>
      </c>
      <c r="B6" s="243"/>
      <c r="C6" s="243"/>
    </row>
    <row r="7" spans="1:3" ht="45" customHeight="1" x14ac:dyDescent="0.35">
      <c r="A7" s="25"/>
      <c r="B7" s="25" t="s">
        <v>5</v>
      </c>
      <c r="C7" s="25"/>
    </row>
    <row r="8" spans="1:3" ht="21.9" customHeight="1" x14ac:dyDescent="0.35">
      <c r="A8" s="25"/>
      <c r="B8" s="25"/>
      <c r="C8" s="25"/>
    </row>
    <row r="9" spans="1:3" ht="27.9" customHeight="1" x14ac:dyDescent="0.35">
      <c r="A9" s="243" t="s">
        <v>6</v>
      </c>
      <c r="B9" s="243"/>
      <c r="C9" s="243"/>
    </row>
    <row r="10" spans="1:3" ht="45" customHeight="1" x14ac:dyDescent="0.35">
      <c r="A10" s="25"/>
      <c r="B10" s="25" t="s">
        <v>7</v>
      </c>
      <c r="C10" s="25"/>
    </row>
    <row r="11" spans="1:3" ht="21.9" customHeight="1" x14ac:dyDescent="0.35">
      <c r="A11" s="25"/>
      <c r="B11" s="25"/>
      <c r="C11" s="25"/>
    </row>
    <row r="12" spans="1:3" ht="45" customHeight="1" x14ac:dyDescent="0.35">
      <c r="A12" s="25"/>
      <c r="B12" s="25" t="s">
        <v>8</v>
      </c>
      <c r="C12" s="25"/>
    </row>
    <row r="13" spans="1:3" ht="21.9" customHeight="1" x14ac:dyDescent="0.35">
      <c r="A13" s="25"/>
      <c r="B13" s="25"/>
      <c r="C13" s="25"/>
    </row>
    <row r="14" spans="1:3" ht="45" customHeight="1" x14ac:dyDescent="0.35">
      <c r="A14" s="25"/>
      <c r="B14" s="25" t="s">
        <v>9</v>
      </c>
      <c r="C14" s="25"/>
    </row>
    <row r="15" spans="1:3" ht="21.9" customHeight="1" x14ac:dyDescent="0.35">
      <c r="A15" s="25"/>
      <c r="B15" s="25"/>
      <c r="C15" s="25"/>
    </row>
    <row r="16" spans="1:3" ht="27.9" customHeight="1" x14ac:dyDescent="0.35">
      <c r="A16" s="243" t="s">
        <v>10</v>
      </c>
      <c r="B16" s="243"/>
      <c r="C16" s="243"/>
    </row>
    <row r="17" spans="1:3" ht="50.15" customHeight="1" x14ac:dyDescent="0.35">
      <c r="A17" s="62"/>
      <c r="B17" s="62" t="s">
        <v>11</v>
      </c>
      <c r="C17" s="62"/>
    </row>
    <row r="18" spans="1:3" ht="45" customHeight="1" x14ac:dyDescent="0.35">
      <c r="A18" s="25"/>
      <c r="B18" s="25" t="s">
        <v>12</v>
      </c>
      <c r="C18" s="25"/>
    </row>
    <row r="19" spans="1:3" ht="32.4" customHeight="1" x14ac:dyDescent="0.35">
      <c r="A19" s="25"/>
      <c r="B19" s="25" t="s">
        <v>13</v>
      </c>
      <c r="C19" s="25"/>
    </row>
    <row r="20" spans="1:3" ht="21.9" customHeight="1" x14ac:dyDescent="0.35">
      <c r="A20" s="25"/>
      <c r="B20" s="25"/>
      <c r="C20" s="25"/>
    </row>
    <row r="21" spans="1:3" ht="27.9" customHeight="1" x14ac:dyDescent="0.35">
      <c r="A21" s="243" t="s">
        <v>14</v>
      </c>
      <c r="B21" s="243"/>
      <c r="C21" s="243"/>
    </row>
    <row r="22" spans="1:3" ht="21.9" customHeight="1" x14ac:dyDescent="0.35">
      <c r="A22" s="25"/>
      <c r="B22" s="25" t="s">
        <v>15</v>
      </c>
      <c r="C22" s="25"/>
    </row>
    <row r="23" spans="1:3" ht="21.9" customHeight="1" x14ac:dyDescent="0.35">
      <c r="A23" s="62"/>
      <c r="B23" s="25" t="s">
        <v>16</v>
      </c>
      <c r="C23" s="62"/>
    </row>
    <row r="24" spans="1:3" x14ac:dyDescent="0.35">
      <c r="A24" s="25"/>
      <c r="B24" s="25" t="s">
        <v>17</v>
      </c>
      <c r="C24" s="25"/>
    </row>
    <row r="25" spans="1:3" ht="24.9" customHeight="1" x14ac:dyDescent="0.35">
      <c r="A25" s="25"/>
      <c r="B25" s="25" t="s">
        <v>18</v>
      </c>
      <c r="C25" s="25"/>
    </row>
    <row r="26" spans="1:3" ht="21.9" customHeight="1" x14ac:dyDescent="0.35">
      <c r="A26" s="25"/>
      <c r="B26" s="25" t="s">
        <v>19</v>
      </c>
      <c r="C26" s="25"/>
    </row>
    <row r="27" spans="1:3" ht="21.9" customHeight="1" x14ac:dyDescent="0.35">
      <c r="A27" s="25"/>
      <c r="B27" s="25" t="s">
        <v>20</v>
      </c>
      <c r="C27" s="25"/>
    </row>
    <row r="28" spans="1:3" ht="21.9" customHeight="1" x14ac:dyDescent="0.35">
      <c r="A28" s="25"/>
      <c r="B28" s="25" t="s">
        <v>21</v>
      </c>
      <c r="C28" s="25"/>
    </row>
    <row r="29" spans="1:3" ht="21.9" customHeight="1" x14ac:dyDescent="0.35">
      <c r="A29" s="25"/>
      <c r="B29" s="25" t="s">
        <v>22</v>
      </c>
      <c r="C29" s="25"/>
    </row>
    <row r="30" spans="1:3" x14ac:dyDescent="0.35">
      <c r="A30" s="25"/>
      <c r="B30" s="25"/>
      <c r="C30" s="25"/>
    </row>
    <row r="31" spans="1:3" ht="29" x14ac:dyDescent="0.35">
      <c r="A31" s="25"/>
      <c r="B31" s="25" t="s">
        <v>23</v>
      </c>
      <c r="C31" s="25"/>
    </row>
    <row r="32" spans="1:3" ht="21.9" customHeight="1" x14ac:dyDescent="0.35">
      <c r="A32" s="25"/>
      <c r="B32" s="25"/>
      <c r="C32" s="25"/>
    </row>
    <row r="33" spans="1:3" ht="18" customHeight="1" x14ac:dyDescent="0.35">
      <c r="A33" s="243" t="s">
        <v>24</v>
      </c>
      <c r="B33" s="243"/>
      <c r="C33" s="243"/>
    </row>
    <row r="34" spans="1:3" ht="18" customHeight="1" x14ac:dyDescent="0.35">
      <c r="A34" s="25"/>
      <c r="B34" s="25"/>
      <c r="C34" s="25"/>
    </row>
    <row r="35" spans="1:3" ht="21.9" customHeight="1" x14ac:dyDescent="0.35">
      <c r="A35" s="88" t="s">
        <v>25</v>
      </c>
      <c r="B35" s="89" t="s">
        <v>26</v>
      </c>
      <c r="C35" s="89"/>
    </row>
    <row r="36" spans="1:3" ht="18" customHeight="1" x14ac:dyDescent="0.35">
      <c r="A36" s="25"/>
      <c r="B36" s="25" t="s">
        <v>27</v>
      </c>
      <c r="C36" s="25"/>
    </row>
    <row r="37" spans="1:3" ht="18" customHeight="1" x14ac:dyDescent="0.35">
      <c r="A37" s="25"/>
      <c r="B37" s="25" t="s">
        <v>28</v>
      </c>
      <c r="C37" s="25" t="s">
        <v>29</v>
      </c>
    </row>
    <row r="38" spans="1:3" ht="18" customHeight="1" x14ac:dyDescent="0.35">
      <c r="A38" s="25"/>
      <c r="B38" s="25" t="s">
        <v>30</v>
      </c>
      <c r="C38" s="25" t="s">
        <v>31</v>
      </c>
    </row>
    <row r="39" spans="1:3" ht="18" customHeight="1" x14ac:dyDescent="0.35">
      <c r="A39" s="25"/>
      <c r="B39" s="25" t="s">
        <v>32</v>
      </c>
      <c r="C39" s="25" t="s">
        <v>33</v>
      </c>
    </row>
    <row r="40" spans="1:3" ht="18" customHeight="1" x14ac:dyDescent="0.35">
      <c r="A40" s="25"/>
      <c r="B40" s="25" t="s">
        <v>34</v>
      </c>
      <c r="C40" s="25" t="s">
        <v>35</v>
      </c>
    </row>
    <row r="41" spans="1:3" ht="18" customHeight="1" x14ac:dyDescent="0.35">
      <c r="A41" s="25"/>
      <c r="B41" s="25" t="s">
        <v>36</v>
      </c>
      <c r="C41" s="25" t="s">
        <v>37</v>
      </c>
    </row>
    <row r="42" spans="1:3" ht="18" customHeight="1" x14ac:dyDescent="0.35">
      <c r="A42" s="25"/>
      <c r="B42" s="25" t="s">
        <v>38</v>
      </c>
      <c r="C42" s="62" t="s">
        <v>39</v>
      </c>
    </row>
    <row r="43" spans="1:3" ht="18" customHeight="1" x14ac:dyDescent="0.35">
      <c r="A43" s="25"/>
      <c r="B43" s="25"/>
      <c r="C43" s="25"/>
    </row>
    <row r="44" spans="1:3" ht="21.9" customHeight="1" x14ac:dyDescent="0.35">
      <c r="A44" s="88" t="s">
        <v>40</v>
      </c>
      <c r="B44" s="89" t="s">
        <v>41</v>
      </c>
      <c r="C44" s="89"/>
    </row>
    <row r="45" spans="1:3" ht="18" customHeight="1" x14ac:dyDescent="0.35">
      <c r="A45" s="25"/>
      <c r="B45" s="25" t="s">
        <v>42</v>
      </c>
      <c r="C45" s="25"/>
    </row>
    <row r="46" spans="1:3" ht="18" customHeight="1" x14ac:dyDescent="0.35">
      <c r="A46" s="25"/>
      <c r="B46" s="25" t="s">
        <v>43</v>
      </c>
      <c r="C46" s="25" t="s">
        <v>44</v>
      </c>
    </row>
    <row r="47" spans="1:3" ht="18" customHeight="1" x14ac:dyDescent="0.35">
      <c r="A47" s="25"/>
      <c r="B47" s="25" t="s">
        <v>45</v>
      </c>
      <c r="C47" s="25" t="s">
        <v>46</v>
      </c>
    </row>
    <row r="48" spans="1:3" ht="18" customHeight="1" x14ac:dyDescent="0.35">
      <c r="A48" s="25"/>
      <c r="B48" s="25" t="s">
        <v>47</v>
      </c>
      <c r="C48" s="25" t="s">
        <v>48</v>
      </c>
    </row>
    <row r="49" spans="1:3" ht="18" customHeight="1" x14ac:dyDescent="0.35">
      <c r="A49" s="25"/>
      <c r="B49" s="25" t="s">
        <v>49</v>
      </c>
      <c r="C49" s="25" t="s">
        <v>50</v>
      </c>
    </row>
    <row r="50" spans="1:3" ht="18" customHeight="1" x14ac:dyDescent="0.35">
      <c r="A50" s="25"/>
      <c r="B50" s="25" t="s">
        <v>51</v>
      </c>
      <c r="C50" s="25" t="s">
        <v>52</v>
      </c>
    </row>
    <row r="51" spans="1:3" ht="18" customHeight="1" x14ac:dyDescent="0.35">
      <c r="A51" s="25"/>
      <c r="B51" s="25"/>
      <c r="C51" s="25"/>
    </row>
    <row r="52" spans="1:3" ht="21.9" customHeight="1" x14ac:dyDescent="0.35">
      <c r="A52" s="88" t="s">
        <v>53</v>
      </c>
      <c r="B52" s="89" t="s">
        <v>54</v>
      </c>
      <c r="C52" s="89"/>
    </row>
    <row r="53" spans="1:3" ht="18" customHeight="1" x14ac:dyDescent="0.35">
      <c r="A53" s="25"/>
      <c r="B53" s="25" t="s">
        <v>55</v>
      </c>
      <c r="C53" s="25"/>
    </row>
    <row r="54" spans="1:3" ht="18" customHeight="1" x14ac:dyDescent="0.35">
      <c r="A54" s="25"/>
      <c r="B54" s="25" t="s">
        <v>56</v>
      </c>
      <c r="C54" s="25" t="s">
        <v>57</v>
      </c>
    </row>
    <row r="55" spans="1:3" ht="18" customHeight="1" x14ac:dyDescent="0.35">
      <c r="A55" s="25"/>
      <c r="B55" s="25" t="s">
        <v>58</v>
      </c>
      <c r="C55" s="25"/>
    </row>
    <row r="56" spans="1:3" ht="18" customHeight="1" x14ac:dyDescent="0.35">
      <c r="A56" s="25"/>
      <c r="B56" s="25"/>
      <c r="C56" s="25"/>
    </row>
    <row r="57" spans="1:3" ht="21.9" customHeight="1" x14ac:dyDescent="0.35">
      <c r="A57" s="88" t="s">
        <v>59</v>
      </c>
      <c r="B57" s="89" t="s">
        <v>60</v>
      </c>
      <c r="C57" s="89"/>
    </row>
    <row r="58" spans="1:3" ht="18" customHeight="1" x14ac:dyDescent="0.35">
      <c r="A58" s="25"/>
      <c r="B58" s="25" t="s">
        <v>61</v>
      </c>
      <c r="C58" s="25"/>
    </row>
    <row r="59" spans="1:3" ht="18" customHeight="1" x14ac:dyDescent="0.35">
      <c r="A59" s="25"/>
      <c r="B59" s="25" t="s">
        <v>62</v>
      </c>
      <c r="C59" s="25"/>
    </row>
    <row r="60" spans="1:3" ht="18" customHeight="1" x14ac:dyDescent="0.35">
      <c r="A60" s="25"/>
      <c r="B60" s="25" t="s">
        <v>63</v>
      </c>
      <c r="C60" s="25"/>
    </row>
    <row r="61" spans="1:3" ht="18" customHeight="1" x14ac:dyDescent="0.35">
      <c r="A61" s="25"/>
      <c r="B61" s="25" t="s">
        <v>64</v>
      </c>
      <c r="C61" s="25" t="s">
        <v>65</v>
      </c>
    </row>
    <row r="62" spans="1:3" ht="18" customHeight="1" x14ac:dyDescent="0.35">
      <c r="A62" s="25"/>
      <c r="B62" s="25" t="s">
        <v>66</v>
      </c>
      <c r="C62" s="25" t="s">
        <v>67</v>
      </c>
    </row>
    <row r="63" spans="1:3" ht="18" customHeight="1" x14ac:dyDescent="0.35">
      <c r="A63" s="25"/>
      <c r="B63" s="25"/>
      <c r="C63" s="25"/>
    </row>
    <row r="64" spans="1:3" ht="21.9" customHeight="1" x14ac:dyDescent="0.35">
      <c r="A64" s="88" t="s">
        <v>68</v>
      </c>
      <c r="B64" s="89" t="s">
        <v>69</v>
      </c>
      <c r="C64" s="89"/>
    </row>
    <row r="65" spans="1:3" ht="18" customHeight="1" x14ac:dyDescent="0.35">
      <c r="A65" s="25"/>
      <c r="B65" s="25" t="s">
        <v>70</v>
      </c>
      <c r="C65" s="25"/>
    </row>
    <row r="66" spans="1:3" ht="18" customHeight="1" x14ac:dyDescent="0.35">
      <c r="A66" s="25"/>
      <c r="B66" s="25" t="s">
        <v>71</v>
      </c>
      <c r="C66" s="25" t="s">
        <v>72</v>
      </c>
    </row>
    <row r="67" spans="1:3" ht="18" customHeight="1" x14ac:dyDescent="0.35">
      <c r="A67" s="25"/>
      <c r="B67" s="25" t="s">
        <v>73</v>
      </c>
      <c r="C67" s="25" t="s">
        <v>74</v>
      </c>
    </row>
    <row r="68" spans="1:3" ht="18" customHeight="1" x14ac:dyDescent="0.35">
      <c r="A68" s="25"/>
      <c r="B68" s="25" t="s">
        <v>75</v>
      </c>
      <c r="C68" s="25" t="s">
        <v>76</v>
      </c>
    </row>
    <row r="69" spans="1:3" ht="18" customHeight="1" x14ac:dyDescent="0.35">
      <c r="A69" s="25"/>
      <c r="B69" s="25" t="s">
        <v>77</v>
      </c>
      <c r="C69" s="25" t="s">
        <v>78</v>
      </c>
    </row>
    <row r="70" spans="1:3" ht="18" customHeight="1" x14ac:dyDescent="0.35">
      <c r="A70" s="25"/>
      <c r="B70" s="25"/>
      <c r="C70" s="25"/>
    </row>
    <row r="71" spans="1:3" ht="32.15" customHeight="1" x14ac:dyDescent="0.35">
      <c r="A71" s="88" t="s">
        <v>79</v>
      </c>
      <c r="B71" s="90" t="s">
        <v>80</v>
      </c>
      <c r="C71" s="89"/>
    </row>
    <row r="72" spans="1:3" ht="18" customHeight="1" x14ac:dyDescent="0.35">
      <c r="A72" s="25"/>
      <c r="B72" s="25" t="s">
        <v>81</v>
      </c>
      <c r="C72" s="25"/>
    </row>
    <row r="73" spans="1:3" ht="18" customHeight="1" x14ac:dyDescent="0.35">
      <c r="A73" s="25"/>
      <c r="B73" s="25" t="s">
        <v>82</v>
      </c>
      <c r="C73" s="25" t="s">
        <v>83</v>
      </c>
    </row>
    <row r="74" spans="1:3" ht="18" customHeight="1" x14ac:dyDescent="0.35">
      <c r="A74" s="25"/>
      <c r="B74" s="25" t="s">
        <v>84</v>
      </c>
      <c r="C74" s="25" t="s">
        <v>85</v>
      </c>
    </row>
    <row r="75" spans="1:3" ht="18" customHeight="1" x14ac:dyDescent="0.35">
      <c r="A75" s="25"/>
      <c r="B75" s="25" t="s">
        <v>86</v>
      </c>
      <c r="C75" s="25" t="s">
        <v>87</v>
      </c>
    </row>
    <row r="76" spans="1:3" ht="18" customHeight="1" x14ac:dyDescent="0.35">
      <c r="A76" s="25"/>
      <c r="B76" s="25" t="s">
        <v>88</v>
      </c>
      <c r="C76" s="25" t="s">
        <v>89</v>
      </c>
    </row>
    <row r="77" spans="1:3" ht="21.9" customHeight="1" x14ac:dyDescent="0.35">
      <c r="A77" s="62"/>
      <c r="B77" s="62"/>
      <c r="C77" s="62"/>
    </row>
    <row r="78" spans="1:3" ht="18" customHeight="1" x14ac:dyDescent="0.35">
      <c r="A78" s="25"/>
      <c r="B78" s="25"/>
      <c r="C78" s="25"/>
    </row>
    <row r="79" spans="1:3" ht="24" customHeight="1" x14ac:dyDescent="0.35">
      <c r="A79" s="243" t="s">
        <v>90</v>
      </c>
      <c r="B79" s="243"/>
      <c r="C79" s="243"/>
    </row>
    <row r="80" spans="1:3" ht="18" customHeight="1" x14ac:dyDescent="0.35">
      <c r="A80" s="26" t="s">
        <v>91</v>
      </c>
      <c r="B80" s="26" t="s">
        <v>92</v>
      </c>
      <c r="C80" s="26"/>
    </row>
    <row r="81" spans="1:3" x14ac:dyDescent="0.35">
      <c r="A81" s="25" t="s">
        <v>93</v>
      </c>
      <c r="B81" s="25" t="s">
        <v>94</v>
      </c>
      <c r="C81" s="25"/>
    </row>
    <row r="82" spans="1:3" x14ac:dyDescent="0.35">
      <c r="A82" s="25" t="s">
        <v>95</v>
      </c>
      <c r="B82" s="25" t="s">
        <v>96</v>
      </c>
      <c r="C82" s="25"/>
    </row>
    <row r="83" spans="1:3" x14ac:dyDescent="0.35">
      <c r="A83" s="25" t="s">
        <v>97</v>
      </c>
      <c r="B83" s="25" t="s">
        <v>98</v>
      </c>
      <c r="C83" s="25"/>
    </row>
    <row r="84" spans="1:3" x14ac:dyDescent="0.35">
      <c r="A84" s="25" t="s">
        <v>99</v>
      </c>
      <c r="B84" s="25" t="s">
        <v>100</v>
      </c>
      <c r="C84" s="25"/>
    </row>
    <row r="85" spans="1:3" x14ac:dyDescent="0.35">
      <c r="A85" s="25" t="s">
        <v>101</v>
      </c>
      <c r="B85" s="25" t="s">
        <v>102</v>
      </c>
      <c r="C85" s="25"/>
    </row>
    <row r="86" spans="1:3" x14ac:dyDescent="0.35">
      <c r="A86" s="25" t="s">
        <v>103</v>
      </c>
      <c r="B86" s="25" t="s">
        <v>104</v>
      </c>
      <c r="C86" s="25"/>
    </row>
    <row r="87" spans="1:3" x14ac:dyDescent="0.35">
      <c r="A87" s="25" t="s">
        <v>105</v>
      </c>
      <c r="B87" s="25" t="s">
        <v>106</v>
      </c>
      <c r="C87" s="25"/>
    </row>
    <row r="88" spans="1:3" ht="18" customHeight="1" x14ac:dyDescent="0.35">
      <c r="A88" s="25"/>
      <c r="B88" s="25"/>
      <c r="C88" s="25"/>
    </row>
    <row r="89" spans="1:3" ht="24" customHeight="1" x14ac:dyDescent="0.35">
      <c r="A89" s="91" t="s">
        <v>107</v>
      </c>
      <c r="B89" s="92"/>
      <c r="C89" s="92"/>
    </row>
    <row r="90" spans="1:3" ht="18" customHeight="1" x14ac:dyDescent="0.35">
      <c r="A90" s="24" t="s">
        <v>108</v>
      </c>
      <c r="B90" s="24" t="s">
        <v>109</v>
      </c>
      <c r="C90" s="8" t="s">
        <v>110</v>
      </c>
    </row>
    <row r="91" spans="1:3" ht="18" customHeight="1" x14ac:dyDescent="0.35">
      <c r="A91" s="61" t="s">
        <v>111</v>
      </c>
      <c r="B91" s="25" t="s">
        <v>112</v>
      </c>
      <c r="C91" s="7" t="s">
        <v>113</v>
      </c>
    </row>
    <row r="92" spans="1:3" ht="18" customHeight="1" x14ac:dyDescent="0.35">
      <c r="A92" s="103" t="s">
        <v>114</v>
      </c>
      <c r="B92" s="25" t="s">
        <v>115</v>
      </c>
      <c r="C92" s="7" t="s">
        <v>116</v>
      </c>
    </row>
    <row r="93" spans="1:3" ht="18" customHeight="1" x14ac:dyDescent="0.35">
      <c r="A93" s="14" t="s">
        <v>117</v>
      </c>
      <c r="B93" s="25" t="s">
        <v>118</v>
      </c>
      <c r="C93" s="7" t="s">
        <v>119</v>
      </c>
    </row>
    <row r="94" spans="1:3" ht="18" customHeight="1" x14ac:dyDescent="0.35"/>
    <row r="95" spans="1:3" ht="18" customHeight="1" x14ac:dyDescent="0.35"/>
    <row r="96" spans="1:3" ht="18" customHeight="1" x14ac:dyDescent="0.35"/>
    <row r="97" spans="1:3" ht="24" customHeight="1" x14ac:dyDescent="0.35">
      <c r="A97" s="243" t="s">
        <v>120</v>
      </c>
      <c r="B97" s="243"/>
      <c r="C97" s="243"/>
    </row>
    <row r="98" spans="1:3" ht="18" customHeight="1" x14ac:dyDescent="0.35">
      <c r="A98" s="25"/>
      <c r="B98" s="25"/>
      <c r="C98" s="25"/>
    </row>
    <row r="99" spans="1:3" ht="18" customHeight="1" x14ac:dyDescent="0.35">
      <c r="A99" s="25"/>
      <c r="B99" s="25" t="s">
        <v>121</v>
      </c>
      <c r="C99" s="25"/>
    </row>
    <row r="100" spans="1:3" ht="18" customHeight="1" x14ac:dyDescent="0.35">
      <c r="A100" s="25"/>
      <c r="B100" s="25"/>
      <c r="C100" s="25"/>
    </row>
    <row r="101" spans="1:3" ht="18" customHeight="1" x14ac:dyDescent="0.35">
      <c r="A101" s="25"/>
      <c r="B101" s="25" t="s">
        <v>122</v>
      </c>
      <c r="C101" s="25"/>
    </row>
    <row r="102" spans="1:3" ht="18" customHeight="1" x14ac:dyDescent="0.35">
      <c r="A102" s="25"/>
      <c r="B102" s="25" t="s">
        <v>123</v>
      </c>
      <c r="C102" s="25"/>
    </row>
    <row r="103" spans="1:3" ht="18" customHeight="1" x14ac:dyDescent="0.35">
      <c r="A103" s="25"/>
      <c r="B103" s="25" t="s">
        <v>124</v>
      </c>
      <c r="C103" s="25"/>
    </row>
    <row r="104" spans="1:3" ht="18" customHeight="1" x14ac:dyDescent="0.35">
      <c r="A104" s="25"/>
      <c r="B104" s="25"/>
      <c r="C104" s="25"/>
    </row>
    <row r="105" spans="1:3" ht="18" customHeight="1" x14ac:dyDescent="0.35">
      <c r="A105" s="25"/>
      <c r="B105" s="25" t="s">
        <v>125</v>
      </c>
      <c r="C105" s="25"/>
    </row>
    <row r="106" spans="1:3" x14ac:dyDescent="0.35">
      <c r="A106" s="25"/>
      <c r="B106" s="62" t="s">
        <v>126</v>
      </c>
      <c r="C106" s="25"/>
    </row>
    <row r="107" spans="1:3" x14ac:dyDescent="0.35">
      <c r="A107" s="25"/>
      <c r="B107" s="62" t="s">
        <v>127</v>
      </c>
      <c r="C107" s="25"/>
    </row>
    <row r="108" spans="1:3" x14ac:dyDescent="0.35">
      <c r="A108" s="25"/>
      <c r="B108" s="62" t="s">
        <v>128</v>
      </c>
      <c r="C108" s="25"/>
    </row>
    <row r="109" spans="1:3" ht="18" customHeight="1" x14ac:dyDescent="0.35">
      <c r="A109" s="25"/>
      <c r="B109" s="25"/>
      <c r="C109" s="25"/>
    </row>
    <row r="110" spans="1:3" ht="18" customHeight="1" x14ac:dyDescent="0.35">
      <c r="A110" s="25"/>
      <c r="B110" s="25" t="s">
        <v>129</v>
      </c>
      <c r="C110" s="25"/>
    </row>
    <row r="111" spans="1:3" ht="18" customHeight="1" x14ac:dyDescent="0.35">
      <c r="A111" s="25"/>
      <c r="B111" s="25" t="s">
        <v>130</v>
      </c>
      <c r="C111" s="25"/>
    </row>
    <row r="112" spans="1:3" ht="18" customHeight="1" x14ac:dyDescent="0.35">
      <c r="A112" s="25"/>
      <c r="B112" s="25" t="s">
        <v>131</v>
      </c>
      <c r="C112" s="25"/>
    </row>
    <row r="113" spans="1:3" ht="18" customHeight="1" x14ac:dyDescent="0.35">
      <c r="A113" s="25"/>
      <c r="B113" s="25"/>
      <c r="C113" s="25"/>
    </row>
    <row r="114" spans="1:3" ht="20.149999999999999" customHeight="1" x14ac:dyDescent="0.4">
      <c r="A114" s="244" t="s">
        <v>132</v>
      </c>
      <c r="B114" s="245"/>
      <c r="C114" s="245"/>
    </row>
    <row r="115" spans="1:3" x14ac:dyDescent="0.35">
      <c r="B115" t="s">
        <v>133</v>
      </c>
    </row>
    <row r="116" spans="1:3" x14ac:dyDescent="0.35">
      <c r="B116" s="195" t="s">
        <v>134</v>
      </c>
    </row>
    <row r="118" spans="1:3" x14ac:dyDescent="0.35">
      <c r="B118" s="30" t="s">
        <v>135</v>
      </c>
    </row>
    <row r="119" spans="1:3" x14ac:dyDescent="0.35">
      <c r="B119" s="30" t="s">
        <v>136</v>
      </c>
    </row>
    <row r="120" spans="1:3" x14ac:dyDescent="0.35">
      <c r="B120" s="30" t="s">
        <v>137</v>
      </c>
    </row>
  </sheetData>
  <sheetProtection sheet="1" objects="1" scenarios="1"/>
  <mergeCells count="11">
    <mergeCell ref="A1:C1"/>
    <mergeCell ref="A2:C2"/>
    <mergeCell ref="A16:C16"/>
    <mergeCell ref="A21:C21"/>
    <mergeCell ref="A114:C114"/>
    <mergeCell ref="A3:C3"/>
    <mergeCell ref="A33:C33"/>
    <mergeCell ref="A79:C79"/>
    <mergeCell ref="A97:C97"/>
    <mergeCell ref="A6:C6"/>
    <mergeCell ref="A9:C9"/>
  </mergeCells>
  <hyperlinks>
    <hyperlink ref="B116" r:id="rId1" xr:uid="{DD1E7636-1201-4962-A41E-9DD49E3F5F72}"/>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60AA-5D9B-4FF6-BDFF-B269C684CA3D}">
  <dimension ref="A1:E58"/>
  <sheetViews>
    <sheetView topLeftCell="A4" zoomScale="85" zoomScaleNormal="145" workbookViewId="0">
      <selection activeCell="A23" sqref="A23"/>
    </sheetView>
  </sheetViews>
  <sheetFormatPr defaultRowHeight="14.5" x14ac:dyDescent="0.35"/>
  <cols>
    <col min="1" max="1" width="32.6328125" customWidth="1"/>
    <col min="2" max="2" width="32.6328125" style="2" customWidth="1"/>
    <col min="3" max="3" width="36.453125" style="1" customWidth="1"/>
    <col min="4" max="4" width="18.08984375" style="3" customWidth="1"/>
    <col min="5" max="5" width="25.54296875" customWidth="1"/>
    <col min="6" max="6" width="27.36328125" customWidth="1"/>
    <col min="7" max="7" width="18.08984375" customWidth="1"/>
    <col min="8" max="8" width="15.36328125" customWidth="1"/>
    <col min="9" max="9" width="15.453125" customWidth="1"/>
  </cols>
  <sheetData>
    <row r="1" spans="1:5" ht="30" customHeight="1" x14ac:dyDescent="0.45">
      <c r="A1" s="248" t="s">
        <v>138</v>
      </c>
      <c r="B1" s="249"/>
      <c r="C1" s="249"/>
      <c r="D1" s="249"/>
      <c r="E1" s="249"/>
    </row>
    <row r="2" spans="1:5" x14ac:dyDescent="0.35">
      <c r="A2" s="256" t="s">
        <v>139</v>
      </c>
      <c r="B2" s="257"/>
      <c r="C2" s="257"/>
      <c r="D2" s="257"/>
      <c r="E2" s="257"/>
    </row>
    <row r="3" spans="1:5" ht="27.9" customHeight="1" x14ac:dyDescent="0.35">
      <c r="A3" s="23"/>
      <c r="B3" s="23"/>
      <c r="C3" s="23"/>
      <c r="D3" s="23"/>
      <c r="E3" s="23"/>
    </row>
    <row r="4" spans="1:5" x14ac:dyDescent="0.35">
      <c r="A4" s="250" t="s">
        <v>140</v>
      </c>
      <c r="B4" s="250"/>
      <c r="C4" s="250"/>
      <c r="D4" s="250"/>
      <c r="E4" s="250"/>
    </row>
    <row r="5" spans="1:5" x14ac:dyDescent="0.35">
      <c r="A5" s="23" t="s">
        <v>141</v>
      </c>
      <c r="B5" s="48" t="s">
        <v>142</v>
      </c>
      <c r="C5" s="14" t="s">
        <v>143</v>
      </c>
      <c r="D5" s="23"/>
      <c r="E5" s="23"/>
    </row>
    <row r="6" spans="1:5" ht="24.9" customHeight="1" x14ac:dyDescent="0.35">
      <c r="A6" s="23"/>
      <c r="B6" s="23"/>
      <c r="C6" s="23"/>
      <c r="D6" s="23"/>
      <c r="E6" s="23"/>
    </row>
    <row r="7" spans="1:5" ht="27.9" customHeight="1" x14ac:dyDescent="0.35">
      <c r="A7" s="250" t="s">
        <v>144</v>
      </c>
      <c r="B7" s="250"/>
      <c r="C7" s="250"/>
      <c r="D7" s="250"/>
      <c r="E7" s="250"/>
    </row>
    <row r="8" spans="1:5" x14ac:dyDescent="0.35">
      <c r="A8" s="23" t="s">
        <v>145</v>
      </c>
      <c r="B8" s="207">
        <v>0</v>
      </c>
      <c r="C8" s="23" t="s">
        <v>146</v>
      </c>
      <c r="D8" s="23"/>
      <c r="E8" s="23"/>
    </row>
    <row r="9" spans="1:5" ht="27.9" customHeight="1" x14ac:dyDescent="0.35">
      <c r="A9" s="252" t="s">
        <v>147</v>
      </c>
      <c r="B9" s="253"/>
      <c r="C9" s="253"/>
      <c r="D9" s="253"/>
      <c r="E9" s="253"/>
    </row>
    <row r="10" spans="1:5" x14ac:dyDescent="0.35">
      <c r="A10" s="254" t="s">
        <v>148</v>
      </c>
      <c r="B10" s="255"/>
      <c r="C10" s="255"/>
      <c r="D10" s="255"/>
      <c r="E10" s="255"/>
    </row>
    <row r="11" spans="1:5" x14ac:dyDescent="0.35">
      <c r="A11" s="254" t="s">
        <v>149</v>
      </c>
      <c r="B11" s="255"/>
      <c r="C11" s="255"/>
      <c r="D11" s="255"/>
      <c r="E11" s="255"/>
    </row>
    <row r="12" spans="1:5" x14ac:dyDescent="0.35">
      <c r="A12" s="23"/>
      <c r="B12" s="23"/>
      <c r="C12" s="23"/>
      <c r="D12" s="23"/>
      <c r="E12" s="23"/>
    </row>
    <row r="13" spans="1:5" x14ac:dyDescent="0.35">
      <c r="A13" s="250" t="s">
        <v>150</v>
      </c>
      <c r="B13" s="250"/>
      <c r="C13" s="250"/>
      <c r="D13" s="250"/>
      <c r="E13" s="250"/>
    </row>
    <row r="14" spans="1:5" x14ac:dyDescent="0.35">
      <c r="A14" s="23" t="s">
        <v>151</v>
      </c>
      <c r="B14" s="208">
        <v>2010</v>
      </c>
      <c r="C14" s="12" t="s">
        <v>152</v>
      </c>
      <c r="D14" s="23"/>
      <c r="E14" s="23"/>
    </row>
    <row r="15" spans="1:5" x14ac:dyDescent="0.35">
      <c r="A15" s="23" t="s">
        <v>153</v>
      </c>
      <c r="B15" s="208">
        <v>2026</v>
      </c>
      <c r="C15" s="12" t="s">
        <v>154</v>
      </c>
      <c r="D15" s="23"/>
      <c r="E15" s="23"/>
    </row>
    <row r="16" spans="1:5" x14ac:dyDescent="0.35">
      <c r="A16" s="23"/>
      <c r="B16" s="23"/>
      <c r="C16" s="23"/>
      <c r="D16" s="23"/>
      <c r="E16" s="23"/>
    </row>
    <row r="17" spans="1:5" x14ac:dyDescent="0.35">
      <c r="A17" s="250" t="s">
        <v>155</v>
      </c>
      <c r="B17" s="250"/>
      <c r="C17" s="250"/>
      <c r="D17" s="250"/>
      <c r="E17" s="250"/>
    </row>
    <row r="18" spans="1:5" x14ac:dyDescent="0.35">
      <c r="A18" s="167" t="s">
        <v>156</v>
      </c>
      <c r="B18" s="74" t="s">
        <v>157</v>
      </c>
      <c r="C18" s="74" t="s">
        <v>158</v>
      </c>
      <c r="D18" s="23"/>
      <c r="E18" s="23"/>
    </row>
    <row r="19" spans="1:5" x14ac:dyDescent="0.35">
      <c r="A19" s="23">
        <v>1</v>
      </c>
      <c r="B19" s="209" t="s">
        <v>159</v>
      </c>
      <c r="C19" s="23"/>
      <c r="D19" s="23"/>
      <c r="E19" s="23"/>
    </row>
    <row r="20" spans="1:5" x14ac:dyDescent="0.35">
      <c r="A20" s="23">
        <v>2</v>
      </c>
      <c r="B20" s="209" t="s">
        <v>160</v>
      </c>
      <c r="C20" s="23"/>
      <c r="D20" s="23"/>
      <c r="E20" s="23"/>
    </row>
    <row r="21" spans="1:5" x14ac:dyDescent="0.35">
      <c r="A21" s="23">
        <v>3</v>
      </c>
      <c r="B21" s="212" t="s">
        <v>161</v>
      </c>
      <c r="C21" s="23"/>
      <c r="D21" s="23"/>
      <c r="E21" s="23"/>
    </row>
    <row r="22" spans="1:5" x14ac:dyDescent="0.35">
      <c r="A22" s="23">
        <v>4</v>
      </c>
      <c r="B22" s="209" t="s">
        <v>162</v>
      </c>
      <c r="C22" s="23"/>
      <c r="D22" s="23"/>
      <c r="E22" s="23"/>
    </row>
    <row r="23" spans="1:5" x14ac:dyDescent="0.35">
      <c r="A23" s="23">
        <v>5</v>
      </c>
      <c r="B23" s="209" t="s">
        <v>163</v>
      </c>
      <c r="C23" s="23"/>
      <c r="D23" s="23"/>
      <c r="E23" s="23"/>
    </row>
    <row r="24" spans="1:5" x14ac:dyDescent="0.35">
      <c r="A24" s="23">
        <v>6</v>
      </c>
      <c r="B24" s="209" t="s">
        <v>164</v>
      </c>
      <c r="C24" s="23"/>
      <c r="D24" s="23"/>
      <c r="E24" s="23"/>
    </row>
    <row r="25" spans="1:5" x14ac:dyDescent="0.35">
      <c r="A25" s="23">
        <v>7</v>
      </c>
      <c r="B25" s="212" t="s">
        <v>165</v>
      </c>
      <c r="C25" s="23"/>
      <c r="D25" s="23"/>
      <c r="E25" s="23"/>
    </row>
    <row r="26" spans="1:5" x14ac:dyDescent="0.35">
      <c r="A26" s="23">
        <v>8</v>
      </c>
      <c r="B26" s="209" t="s">
        <v>166</v>
      </c>
      <c r="C26" s="23"/>
      <c r="D26" s="23"/>
      <c r="E26" s="23"/>
    </row>
    <row r="27" spans="1:5" x14ac:dyDescent="0.35">
      <c r="A27" s="23">
        <v>9</v>
      </c>
      <c r="B27" s="209" t="s">
        <v>167</v>
      </c>
      <c r="C27" s="23"/>
      <c r="D27" s="23"/>
      <c r="E27" s="23"/>
    </row>
    <row r="28" spans="1:5" x14ac:dyDescent="0.35">
      <c r="A28" s="23">
        <v>10</v>
      </c>
      <c r="B28" s="209" t="s">
        <v>168</v>
      </c>
      <c r="C28" s="23"/>
      <c r="D28" s="23"/>
      <c r="E28" s="23"/>
    </row>
    <row r="29" spans="1:5" x14ac:dyDescent="0.35">
      <c r="A29" s="23">
        <v>11</v>
      </c>
      <c r="B29" s="209" t="s">
        <v>169</v>
      </c>
      <c r="C29" s="23"/>
      <c r="D29" s="23"/>
      <c r="E29" s="23"/>
    </row>
    <row r="30" spans="1:5" x14ac:dyDescent="0.35">
      <c r="A30" s="23"/>
      <c r="B30" s="23"/>
      <c r="C30" s="23"/>
      <c r="D30" s="23"/>
      <c r="E30" s="23"/>
    </row>
    <row r="31" spans="1:5" x14ac:dyDescent="0.35">
      <c r="A31" s="251" t="s">
        <v>170</v>
      </c>
      <c r="B31" s="251"/>
      <c r="C31" s="251"/>
      <c r="D31" s="251"/>
      <c r="E31" s="251"/>
    </row>
    <row r="32" spans="1:5" ht="14.4" customHeight="1" x14ac:dyDescent="0.35">
      <c r="A32" s="23"/>
      <c r="B32" s="23"/>
      <c r="C32" s="23"/>
      <c r="D32" s="23"/>
      <c r="E32" s="23"/>
    </row>
    <row r="33" spans="1:5" x14ac:dyDescent="0.35">
      <c r="A33" s="23"/>
      <c r="B33" s="23"/>
      <c r="C33" s="23"/>
      <c r="D33" s="23"/>
      <c r="E33" s="23"/>
    </row>
    <row r="34" spans="1:5" x14ac:dyDescent="0.35">
      <c r="A34" s="250" t="s">
        <v>171</v>
      </c>
      <c r="B34" s="250"/>
      <c r="C34" s="250"/>
      <c r="D34" s="250"/>
      <c r="E34" s="250"/>
    </row>
    <row r="35" spans="1:5" x14ac:dyDescent="0.35">
      <c r="A35" s="163" t="s">
        <v>172</v>
      </c>
      <c r="B35" s="163" t="s">
        <v>173</v>
      </c>
      <c r="C35" s="163" t="s">
        <v>174</v>
      </c>
      <c r="D35" s="163" t="s">
        <v>175</v>
      </c>
      <c r="E35" s="163" t="s">
        <v>176</v>
      </c>
    </row>
    <row r="36" spans="1:5" x14ac:dyDescent="0.35">
      <c r="A36" s="27" t="s">
        <v>177</v>
      </c>
      <c r="B36" s="210"/>
      <c r="C36" s="210" t="s">
        <v>178</v>
      </c>
      <c r="D36" s="101">
        <f>IF(C36="kg",1,IF(C36="tonnes",1000,IF(C36="lbs",0.453592,1)))</f>
        <v>1</v>
      </c>
      <c r="E36" s="164" t="s">
        <v>179</v>
      </c>
    </row>
    <row r="37" spans="1:5" x14ac:dyDescent="0.35">
      <c r="A37" s="27" t="s">
        <v>180</v>
      </c>
      <c r="B37" s="210"/>
      <c r="C37" s="210" t="s">
        <v>178</v>
      </c>
      <c r="D37" s="101">
        <f>IF(C37="kg",1,IF(C37="tonnes",1000,IF(C37="lbs",0.453592,1)))</f>
        <v>1</v>
      </c>
      <c r="E37" s="164" t="s">
        <v>179</v>
      </c>
    </row>
    <row r="38" spans="1:5" x14ac:dyDescent="0.35">
      <c r="A38" s="27" t="s">
        <v>181</v>
      </c>
      <c r="B38" s="210"/>
      <c r="C38" s="210" t="s">
        <v>178</v>
      </c>
      <c r="D38" s="101">
        <f>IF(C38="kg",1,IF(C38="tonnes",1000,IF(C38="lbs",0.453592,1)))</f>
        <v>1</v>
      </c>
      <c r="E38" s="164" t="s">
        <v>182</v>
      </c>
    </row>
    <row r="39" spans="1:5" x14ac:dyDescent="0.35">
      <c r="A39" s="27" t="s">
        <v>183</v>
      </c>
      <c r="B39" s="210"/>
      <c r="C39" s="210" t="s">
        <v>178</v>
      </c>
      <c r="D39" s="101">
        <f>IF(C39="kg",1,IF(C39="tonnes",1000,IF(C39="lbs",0.453592,1)))</f>
        <v>1</v>
      </c>
      <c r="E39" s="164" t="s">
        <v>182</v>
      </c>
    </row>
    <row r="40" spans="1:5" x14ac:dyDescent="0.35">
      <c r="A40" s="28" t="s">
        <v>184</v>
      </c>
      <c r="B40" s="211"/>
      <c r="C40" s="211" t="s">
        <v>178</v>
      </c>
      <c r="D40" s="102">
        <f>IF(C40="kg",1,IF(C40="tonnes",1000,IF(C40="lbs",0.453592,1)))</f>
        <v>1</v>
      </c>
      <c r="E40" s="165" t="s">
        <v>184</v>
      </c>
    </row>
    <row r="41" spans="1:5" x14ac:dyDescent="0.35">
      <c r="A41" s="23"/>
      <c r="B41" s="23"/>
      <c r="C41" s="23"/>
      <c r="D41" s="23"/>
      <c r="E41" s="29"/>
    </row>
    <row r="42" spans="1:5" x14ac:dyDescent="0.35">
      <c r="A42" s="250" t="s">
        <v>185</v>
      </c>
      <c r="B42" s="250"/>
      <c r="C42" s="250"/>
      <c r="D42" s="250"/>
      <c r="E42" s="250"/>
    </row>
    <row r="43" spans="1:5" ht="16" x14ac:dyDescent="0.4">
      <c r="A43" s="76" t="s">
        <v>186</v>
      </c>
      <c r="B43" s="77" t="s">
        <v>187</v>
      </c>
      <c r="C43" s="14" t="s">
        <v>188</v>
      </c>
      <c r="D43" s="12"/>
      <c r="E43" s="23"/>
    </row>
    <row r="44" spans="1:5" ht="16" x14ac:dyDescent="0.4">
      <c r="A44" s="76" t="s">
        <v>189</v>
      </c>
      <c r="B44" s="77" t="s">
        <v>190</v>
      </c>
      <c r="C44" s="14" t="s">
        <v>191</v>
      </c>
      <c r="D44" s="12"/>
      <c r="E44" s="23"/>
    </row>
    <row r="45" spans="1:5" ht="16" x14ac:dyDescent="0.4">
      <c r="A45" s="76" t="s">
        <v>192</v>
      </c>
      <c r="B45" s="78" t="s">
        <v>193</v>
      </c>
      <c r="C45" s="14" t="s">
        <v>194</v>
      </c>
      <c r="D45" s="12"/>
      <c r="E45" s="23"/>
    </row>
    <row r="46" spans="1:5" ht="16" x14ac:dyDescent="0.4">
      <c r="A46" s="76" t="s">
        <v>195</v>
      </c>
      <c r="B46" s="77" t="s">
        <v>196</v>
      </c>
      <c r="C46" s="14" t="s">
        <v>197</v>
      </c>
      <c r="D46" s="12"/>
      <c r="E46" s="23"/>
    </row>
    <row r="47" spans="1:5" ht="16" x14ac:dyDescent="0.4">
      <c r="A47" s="76" t="s">
        <v>198</v>
      </c>
      <c r="B47" s="77" t="s">
        <v>199</v>
      </c>
      <c r="C47" s="14" t="s">
        <v>200</v>
      </c>
      <c r="D47" s="12"/>
      <c r="E47" s="23"/>
    </row>
    <row r="48" spans="1:5" ht="16" x14ac:dyDescent="0.4">
      <c r="A48" s="76" t="s">
        <v>201</v>
      </c>
      <c r="B48" s="77" t="s">
        <v>202</v>
      </c>
      <c r="C48" s="14" t="s">
        <v>203</v>
      </c>
      <c r="D48" s="12"/>
      <c r="E48" s="23"/>
    </row>
    <row r="49" spans="1:5" x14ac:dyDescent="0.35">
      <c r="A49" s="79" t="s">
        <v>204</v>
      </c>
      <c r="B49" s="80" t="s">
        <v>205</v>
      </c>
      <c r="C49" s="14" t="s">
        <v>206</v>
      </c>
      <c r="D49" s="81"/>
      <c r="E49" s="20"/>
    </row>
    <row r="50" spans="1:5" x14ac:dyDescent="0.35">
      <c r="A50" s="19"/>
      <c r="B50" s="20"/>
      <c r="C50" s="21"/>
      <c r="D50" s="20"/>
      <c r="E50" s="20"/>
    </row>
    <row r="51" spans="1:5" x14ac:dyDescent="0.35">
      <c r="A51" s="250" t="s">
        <v>207</v>
      </c>
      <c r="B51" s="250"/>
      <c r="C51" s="250"/>
      <c r="D51" s="250"/>
      <c r="E51" s="250"/>
    </row>
    <row r="52" spans="1:5" x14ac:dyDescent="0.35">
      <c r="A52" s="60" t="s">
        <v>111</v>
      </c>
      <c r="B52" s="7" t="s">
        <v>208</v>
      </c>
      <c r="C52" s="30"/>
      <c r="D52"/>
    </row>
    <row r="53" spans="1:5" x14ac:dyDescent="0.35">
      <c r="A53" s="103" t="s">
        <v>114</v>
      </c>
      <c r="B53" s="7" t="s">
        <v>209</v>
      </c>
      <c r="C53"/>
      <c r="D53"/>
    </row>
    <row r="54" spans="1:5" x14ac:dyDescent="0.35">
      <c r="A54" s="14" t="s">
        <v>117</v>
      </c>
      <c r="B54" s="7" t="s">
        <v>210</v>
      </c>
      <c r="C54"/>
      <c r="D54"/>
    </row>
    <row r="55" spans="1:5" x14ac:dyDescent="0.35">
      <c r="B55"/>
      <c r="C55"/>
      <c r="D55"/>
    </row>
    <row r="56" spans="1:5" x14ac:dyDescent="0.35">
      <c r="B56"/>
      <c r="C56"/>
      <c r="D56"/>
    </row>
    <row r="57" spans="1:5" x14ac:dyDescent="0.35">
      <c r="B57"/>
      <c r="C57"/>
      <c r="D57"/>
    </row>
    <row r="58" spans="1:5" x14ac:dyDescent="0.35">
      <c r="B58"/>
      <c r="C58"/>
      <c r="D58"/>
    </row>
  </sheetData>
  <sheetProtection sheet="1" objects="1" scenarios="1"/>
  <mergeCells count="13">
    <mergeCell ref="A1:E1"/>
    <mergeCell ref="A13:E13"/>
    <mergeCell ref="A17:E17"/>
    <mergeCell ref="A31:E31"/>
    <mergeCell ref="A51:E51"/>
    <mergeCell ref="A9:E9"/>
    <mergeCell ref="A10:E10"/>
    <mergeCell ref="A11:E11"/>
    <mergeCell ref="A34:E34"/>
    <mergeCell ref="A42:E42"/>
    <mergeCell ref="A2:E2"/>
    <mergeCell ref="A4:E4"/>
    <mergeCell ref="A7:E7"/>
  </mergeCells>
  <dataValidations count="2">
    <dataValidation type="list" allowBlank="1" showInputMessage="1" showErrorMessage="1" sqref="C36 C37 C38 C39 C40:C41" xr:uid="{61ECEB1B-25C3-4A8B-9882-1D7AF8C3DE0D}">
      <formula1>"kg,tonnes,lbs"</formula1>
    </dataValidation>
    <dataValidation type="list" allowBlank="1" showInputMessage="1" showErrorMessage="1" sqref="B5" xr:uid="{6EAD7C61-FE2B-46A7-8C4C-8839341FA642}">
      <formula1>"CAD,USD,EUR,GBP"</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0E308-168F-4F60-8EA4-373C7159F705}">
  <sheetPr>
    <tabColor rgb="FFD8E8FC"/>
  </sheetPr>
  <dimension ref="A1:M111"/>
  <sheetViews>
    <sheetView showGridLines="0" tabSelected="1" zoomScale="65" zoomScaleNormal="100" workbookViewId="0">
      <pane ySplit="1" topLeftCell="A2" activePane="bottomLeft" state="frozen"/>
      <selection pane="bottomLeft" activeCell="H10" sqref="H10"/>
    </sheetView>
  </sheetViews>
  <sheetFormatPr defaultRowHeight="14.5" x14ac:dyDescent="0.35"/>
  <cols>
    <col min="1" max="1" width="40" customWidth="1"/>
    <col min="2" max="2" width="14.54296875" customWidth="1"/>
    <col min="3" max="3" width="10.90625" customWidth="1"/>
    <col min="4" max="4" width="12.6328125" customWidth="1"/>
    <col min="5" max="5" width="14.54296875" customWidth="1"/>
    <col min="6" max="6" width="32.6328125" customWidth="1"/>
    <col min="7" max="7" width="2.6328125" customWidth="1"/>
    <col min="8" max="8" width="40" customWidth="1"/>
    <col min="9" max="9" width="14.54296875" customWidth="1"/>
    <col min="10" max="10" width="10.90625" customWidth="1"/>
    <col min="11" max="11" width="12.6328125" customWidth="1"/>
    <col min="12" max="12" width="14.54296875" customWidth="1"/>
    <col min="13" max="13" width="32.6328125" customWidth="1"/>
  </cols>
  <sheetData>
    <row r="1" spans="1:13" ht="27.9" customHeight="1" x14ac:dyDescent="0.45">
      <c r="A1" s="258" t="str">
        <f>"RESIDENTIAL WASTE DATA - YEAR "&amp;'Units and Governance'!B14</f>
        <v>RESIDENTIAL WASTE DATA - YEAR 2010</v>
      </c>
      <c r="B1" s="258"/>
      <c r="C1" s="258"/>
      <c r="D1" s="258"/>
      <c r="E1" s="258"/>
      <c r="F1" s="258"/>
      <c r="G1" s="126"/>
      <c r="H1" s="258" t="str">
        <f>"RESIDENTIAL WASTE DATA - YEAR "&amp;'Units and Governance'!B15</f>
        <v>RESIDENTIAL WASTE DATA - YEAR 2026</v>
      </c>
      <c r="I1" s="258"/>
      <c r="J1" s="258"/>
      <c r="K1" s="258"/>
      <c r="L1" s="258"/>
      <c r="M1" s="258"/>
    </row>
    <row r="2" spans="1:13" ht="20.149999999999999" customHeight="1" x14ac:dyDescent="0.35">
      <c r="A2" s="260" t="s">
        <v>211</v>
      </c>
      <c r="B2" s="261"/>
      <c r="C2" s="261"/>
      <c r="D2" s="261"/>
      <c r="E2" s="261"/>
      <c r="F2" s="261"/>
      <c r="G2" s="126"/>
      <c r="H2" s="152"/>
      <c r="I2" s="151"/>
      <c r="J2" s="151"/>
      <c r="K2" s="151"/>
      <c r="L2" s="151"/>
      <c r="M2" s="151"/>
    </row>
    <row r="3" spans="1:13" s="18" customFormat="1" ht="24" customHeight="1" x14ac:dyDescent="0.4">
      <c r="A3" s="262" t="s">
        <v>212</v>
      </c>
      <c r="B3" s="262"/>
      <c r="C3" s="262"/>
      <c r="D3" s="262"/>
      <c r="E3" s="262"/>
      <c r="F3" s="262"/>
      <c r="G3" s="127"/>
      <c r="H3" s="262" t="s">
        <v>212</v>
      </c>
      <c r="I3" s="262"/>
      <c r="J3" s="262"/>
      <c r="K3" s="262"/>
      <c r="L3" s="262"/>
      <c r="M3" s="262"/>
    </row>
    <row r="4" spans="1:13" ht="20.149999999999999" customHeight="1" x14ac:dyDescent="0.35">
      <c r="A4" s="259" t="s">
        <v>213</v>
      </c>
      <c r="B4" s="259"/>
      <c r="C4" s="259"/>
      <c r="D4" s="259"/>
      <c r="E4" s="259"/>
      <c r="F4" s="259"/>
      <c r="G4" s="126"/>
      <c r="H4" s="259" t="s">
        <v>213</v>
      </c>
      <c r="I4" s="259"/>
      <c r="J4" s="259"/>
      <c r="K4" s="259"/>
      <c r="L4" s="259"/>
      <c r="M4" s="259"/>
    </row>
    <row r="5" spans="1:13" ht="20.149999999999999" customHeight="1" x14ac:dyDescent="0.35">
      <c r="A5" s="15" t="s">
        <v>92</v>
      </c>
      <c r="B5" s="15" t="s">
        <v>214</v>
      </c>
      <c r="C5" s="15" t="s">
        <v>215</v>
      </c>
      <c r="D5" s="15" t="s">
        <v>216</v>
      </c>
      <c r="E5" s="15"/>
      <c r="F5" s="74" t="s">
        <v>217</v>
      </c>
      <c r="G5" s="126"/>
      <c r="H5" s="15" t="s">
        <v>92</v>
      </c>
      <c r="I5" s="15" t="s">
        <v>214</v>
      </c>
      <c r="J5" s="15" t="s">
        <v>215</v>
      </c>
      <c r="K5" s="15" t="s">
        <v>216</v>
      </c>
      <c r="L5" s="15"/>
      <c r="M5" s="74" t="s">
        <v>217</v>
      </c>
    </row>
    <row r="6" spans="1:13" ht="20.149999999999999" customHeight="1" x14ac:dyDescent="0.35">
      <c r="A6" s="9" t="s">
        <v>218</v>
      </c>
      <c r="B6" s="213">
        <v>0</v>
      </c>
      <c r="C6" s="9" t="s">
        <v>146</v>
      </c>
      <c r="F6" s="9" t="s">
        <v>219</v>
      </c>
      <c r="G6" s="126"/>
      <c r="H6" s="9" t="s">
        <v>218</v>
      </c>
      <c r="I6" s="213">
        <v>0</v>
      </c>
      <c r="J6" s="9" t="s">
        <v>146</v>
      </c>
      <c r="M6" s="9" t="s">
        <v>219</v>
      </c>
    </row>
    <row r="7" spans="1:13" ht="20.149999999999999" customHeight="1" x14ac:dyDescent="0.35">
      <c r="A7" s="9" t="s">
        <v>220</v>
      </c>
      <c r="B7" s="214">
        <v>0</v>
      </c>
      <c r="C7" s="104" t="str">
        <f>'Units and Governance'!C36</f>
        <v>kg</v>
      </c>
      <c r="D7" s="104">
        <f>IF(B7="","",B7*'Units and Governance'!D36)</f>
        <v>0</v>
      </c>
      <c r="F7" s="9" t="s">
        <v>221</v>
      </c>
      <c r="G7" s="126"/>
      <c r="H7" s="9" t="s">
        <v>220</v>
      </c>
      <c r="I7" s="214">
        <v>0</v>
      </c>
      <c r="J7" s="104" t="str">
        <f>'Units and Governance'!C36</f>
        <v>kg</v>
      </c>
      <c r="K7" s="104">
        <f>IF(I7="","",I7*'Units and Governance'!D36)</f>
        <v>0</v>
      </c>
      <c r="M7" s="9" t="s">
        <v>221</v>
      </c>
    </row>
    <row r="8" spans="1:13" ht="20.149999999999999" customHeight="1" x14ac:dyDescent="0.35">
      <c r="A8" s="9" t="s">
        <v>222</v>
      </c>
      <c r="B8" s="214">
        <v>15</v>
      </c>
      <c r="C8" s="9" t="s">
        <v>223</v>
      </c>
      <c r="F8" s="9" t="s">
        <v>224</v>
      </c>
      <c r="G8" s="126"/>
      <c r="H8" s="9" t="s">
        <v>222</v>
      </c>
      <c r="I8" s="214">
        <v>15</v>
      </c>
      <c r="J8" s="9" t="s">
        <v>223</v>
      </c>
      <c r="M8" s="9" t="s">
        <v>224</v>
      </c>
    </row>
    <row r="9" spans="1:13" ht="20.149999999999999" customHeight="1" x14ac:dyDescent="0.35">
      <c r="A9" s="9" t="s">
        <v>225</v>
      </c>
      <c r="B9" s="100">
        <f>IF(OR(B7="",B8=""),"",D7*B8/100)</f>
        <v>0</v>
      </c>
      <c r="C9" s="103" t="s">
        <v>178</v>
      </c>
      <c r="D9" s="103"/>
      <c r="E9" s="7"/>
      <c r="F9" s="9" t="s">
        <v>226</v>
      </c>
      <c r="G9" s="126"/>
      <c r="H9" s="9" t="s">
        <v>225</v>
      </c>
      <c r="I9" s="100">
        <f>IF(OR(I7="",I8=""),"",K7*I8/100)</f>
        <v>0</v>
      </c>
      <c r="J9" s="103" t="s">
        <v>178</v>
      </c>
      <c r="K9" s="103"/>
      <c r="L9" s="7"/>
      <c r="M9" s="9" t="s">
        <v>226</v>
      </c>
    </row>
    <row r="10" spans="1:13" ht="20.149999999999999" customHeight="1" x14ac:dyDescent="0.35">
      <c r="A10" s="9" t="s">
        <v>227</v>
      </c>
      <c r="B10" s="100">
        <f>IF(B36&gt;0, B36*(B8/100), 0)</f>
        <v>0</v>
      </c>
      <c r="C10" s="103" t="str">
        <f>'Units and Governance'!B5</f>
        <v>CAD</v>
      </c>
      <c r="D10" s="72"/>
      <c r="E10" s="72"/>
      <c r="F10" s="9" t="s">
        <v>228</v>
      </c>
      <c r="G10" s="126"/>
      <c r="H10" s="9" t="s">
        <v>227</v>
      </c>
      <c r="I10" s="100">
        <f>IF(I36&gt;0, I36*(I8/100), 0)</f>
        <v>0</v>
      </c>
      <c r="J10" s="103" t="str">
        <f>'Units and Governance'!B5</f>
        <v>CAD</v>
      </c>
      <c r="K10" s="72"/>
      <c r="L10" s="72"/>
      <c r="M10" s="9" t="s">
        <v>228</v>
      </c>
    </row>
    <row r="11" spans="1:13" ht="20.149999999999999" customHeight="1" x14ac:dyDescent="0.35">
      <c r="B11" s="31"/>
      <c r="G11" s="126"/>
      <c r="I11" s="31"/>
    </row>
    <row r="12" spans="1:13" ht="20.149999999999999" customHeight="1" x14ac:dyDescent="0.35">
      <c r="G12" s="126"/>
    </row>
    <row r="13" spans="1:13" ht="20.149999999999999" customHeight="1" x14ac:dyDescent="0.35">
      <c r="A13" s="259" t="s">
        <v>229</v>
      </c>
      <c r="B13" s="259"/>
      <c r="C13" s="259"/>
      <c r="D13" s="259"/>
      <c r="E13" s="259"/>
      <c r="F13" s="259"/>
      <c r="G13" s="126"/>
      <c r="H13" s="259" t="s">
        <v>229</v>
      </c>
      <c r="I13" s="259"/>
      <c r="J13" s="259"/>
      <c r="K13" s="259"/>
      <c r="L13" s="259"/>
      <c r="M13" s="259"/>
    </row>
    <row r="14" spans="1:13" ht="20.149999999999999" customHeight="1" x14ac:dyDescent="0.35">
      <c r="A14" s="15" t="s">
        <v>230</v>
      </c>
      <c r="B14" s="15" t="s">
        <v>231</v>
      </c>
      <c r="C14" s="15" t="s">
        <v>215</v>
      </c>
      <c r="D14" s="15" t="s">
        <v>216</v>
      </c>
      <c r="E14" s="15" t="str">
        <f>"Cost ("&amp;'Units and Governance'!B5&amp;")"</f>
        <v>Cost (CAD)</v>
      </c>
      <c r="F14" s="153" t="s">
        <v>232</v>
      </c>
      <c r="G14" s="126"/>
      <c r="H14" s="15" t="s">
        <v>230</v>
      </c>
      <c r="I14" s="15" t="s">
        <v>231</v>
      </c>
      <c r="J14" s="15" t="s">
        <v>215</v>
      </c>
      <c r="K14" s="15" t="s">
        <v>216</v>
      </c>
      <c r="L14" s="15" t="str">
        <f>"Cost ("&amp;'Units and Governance'!B5&amp;")"</f>
        <v>Cost (CAD)</v>
      </c>
      <c r="M14" s="153" t="s">
        <v>232</v>
      </c>
    </row>
    <row r="15" spans="1:13" ht="20.149999999999999" customHeight="1" x14ac:dyDescent="0.35">
      <c r="A15" s="99" t="str">
        <f>'Units and Governance'!B19</f>
        <v>Lined hot cups</v>
      </c>
      <c r="B15" s="215"/>
      <c r="C15" s="103" t="str">
        <f>'Units and Governance'!C36</f>
        <v>kg</v>
      </c>
      <c r="D15" s="100" t="str">
        <f>IF(B15="","",B15*'Units and Governance'!D36)</f>
        <v/>
      </c>
      <c r="E15" s="198">
        <f t="shared" ref="E15:E25" si="0">IF($B$36=0,0,IF(AND($D$7&lt;&gt;"",$D$7&gt;0),(D15/$D$7)*$B$36,IF($D$26&gt;0,(D15/$D$26)*$B$36,0)))</f>
        <v>0</v>
      </c>
      <c r="F15" s="213"/>
      <c r="G15" s="126"/>
      <c r="H15" s="99" t="str">
        <f>'Units and Governance'!B19</f>
        <v>Lined hot cups</v>
      </c>
      <c r="I15" s="215"/>
      <c r="J15" s="103" t="str">
        <f>'Units and Governance'!C36</f>
        <v>kg</v>
      </c>
      <c r="K15" s="100" t="str">
        <f>IF(I15="","",I15*'Units and Governance'!D36)</f>
        <v/>
      </c>
      <c r="L15" s="198">
        <f t="shared" ref="L15:L25" si="1">IF($I$36=0,0,IF(AND($K$7&lt;&gt;"",$K$7&gt;0),(K15/$K$7)*$I$36,IF($K$26&gt;0,(K15/$K$26)*$I$36,0)))</f>
        <v>0</v>
      </c>
      <c r="M15" s="213"/>
    </row>
    <row r="16" spans="1:13" ht="20.149999999999999" customHeight="1" x14ac:dyDescent="0.35">
      <c r="A16" s="99" t="str">
        <f>'Units and Governance'!B20</f>
        <v>Plastic cold cups</v>
      </c>
      <c r="B16" s="215"/>
      <c r="C16" s="103" t="str">
        <f>'Units and Governance'!C36</f>
        <v>kg</v>
      </c>
      <c r="D16" s="100" t="str">
        <f>IF(B16="","",B16*'Units and Governance'!D36)</f>
        <v/>
      </c>
      <c r="E16" s="198">
        <f t="shared" si="0"/>
        <v>0</v>
      </c>
      <c r="F16" s="213"/>
      <c r="G16" s="126"/>
      <c r="H16" s="99" t="str">
        <f>'Units and Governance'!B20</f>
        <v>Plastic cold cups</v>
      </c>
      <c r="I16" s="215"/>
      <c r="J16" s="103" t="str">
        <f>'Units and Governance'!C36</f>
        <v>kg</v>
      </c>
      <c r="K16" s="100" t="str">
        <f>IF(I16="","",I16*'Units and Governance'!D36)</f>
        <v/>
      </c>
      <c r="L16" s="198">
        <f t="shared" si="1"/>
        <v>0</v>
      </c>
      <c r="M16" s="213"/>
    </row>
    <row r="17" spans="1:13" ht="20.149999999999999" customHeight="1" x14ac:dyDescent="0.35">
      <c r="A17" s="99" t="str">
        <f>'Units and Governance'!B21</f>
        <v>Cup lids</v>
      </c>
      <c r="B17" s="215"/>
      <c r="C17" s="103" t="str">
        <f>'Units and Governance'!C36</f>
        <v>kg</v>
      </c>
      <c r="D17" s="100" t="str">
        <f>IF(B17="","",B17*'Units and Governance'!D36)</f>
        <v/>
      </c>
      <c r="E17" s="198">
        <f t="shared" si="0"/>
        <v>0</v>
      </c>
      <c r="F17" s="213"/>
      <c r="G17" s="126"/>
      <c r="H17" s="99" t="str">
        <f>'Units and Governance'!B21</f>
        <v>Cup lids</v>
      </c>
      <c r="I17" s="215"/>
      <c r="J17" s="103" t="str">
        <f>'Units and Governance'!C36</f>
        <v>kg</v>
      </c>
      <c r="K17" s="100" t="str">
        <f>IF(I17="","",I17*'Units and Governance'!D36)</f>
        <v/>
      </c>
      <c r="L17" s="198">
        <f t="shared" si="1"/>
        <v>0</v>
      </c>
      <c r="M17" s="213"/>
    </row>
    <row r="18" spans="1:13" ht="20.149999999999999" customHeight="1" x14ac:dyDescent="0.35">
      <c r="A18" s="99" t="str">
        <f>'Units and Governance'!B22</f>
        <v>Vaping devices</v>
      </c>
      <c r="B18" s="215"/>
      <c r="C18" s="103" t="str">
        <f>'Units and Governance'!C36</f>
        <v>kg</v>
      </c>
      <c r="D18" s="100" t="str">
        <f>IF(B18="","",B18*'Units and Governance'!D36)</f>
        <v/>
      </c>
      <c r="E18" s="198">
        <f t="shared" si="0"/>
        <v>0</v>
      </c>
      <c r="F18" s="213"/>
      <c r="G18" s="126"/>
      <c r="H18" s="99" t="str">
        <f>'Units and Governance'!B22</f>
        <v>Vaping devices</v>
      </c>
      <c r="I18" s="215"/>
      <c r="J18" s="103" t="str">
        <f>'Units and Governance'!C36</f>
        <v>kg</v>
      </c>
      <c r="K18" s="100" t="str">
        <f>IF(I18="","",I18*'Units and Governance'!D36)</f>
        <v/>
      </c>
      <c r="L18" s="198">
        <f t="shared" si="1"/>
        <v>0</v>
      </c>
      <c r="M18" s="213"/>
    </row>
    <row r="19" spans="1:13" ht="20.149999999999999" customHeight="1" x14ac:dyDescent="0.35">
      <c r="A19" s="99" t="str">
        <f>'Units and Governance'!B23</f>
        <v>Bottle caps</v>
      </c>
      <c r="B19" s="215"/>
      <c r="C19" s="103" t="str">
        <f>'Units and Governance'!C36</f>
        <v>kg</v>
      </c>
      <c r="D19" s="100" t="str">
        <f>IF(B19="","",B19*'Units and Governance'!D36)</f>
        <v/>
      </c>
      <c r="E19" s="198">
        <f t="shared" si="0"/>
        <v>0</v>
      </c>
      <c r="F19" s="213"/>
      <c r="G19" s="126"/>
      <c r="H19" s="99" t="str">
        <f>'Units and Governance'!B23</f>
        <v>Bottle caps</v>
      </c>
      <c r="I19" s="215"/>
      <c r="J19" s="103" t="str">
        <f>'Units and Governance'!C36</f>
        <v>kg</v>
      </c>
      <c r="K19" s="100" t="str">
        <f>IF(I19="","",I19*'Units and Governance'!D36)</f>
        <v/>
      </c>
      <c r="L19" s="198">
        <f t="shared" si="1"/>
        <v>0</v>
      </c>
      <c r="M19" s="213"/>
    </row>
    <row r="20" spans="1:13" ht="20.149999999999999" customHeight="1" x14ac:dyDescent="0.35">
      <c r="A20" s="99" t="str">
        <f>'Units and Governance'!B24</f>
        <v>Plastic bottles</v>
      </c>
      <c r="B20" s="215"/>
      <c r="C20" s="103" t="str">
        <f>'Units and Governance'!C36</f>
        <v>kg</v>
      </c>
      <c r="D20" s="100" t="str">
        <f>IF(B20="","",B20*'Units and Governance'!D36)</f>
        <v/>
      </c>
      <c r="E20" s="198">
        <f t="shared" si="0"/>
        <v>0</v>
      </c>
      <c r="F20" s="213"/>
      <c r="G20" s="126"/>
      <c r="H20" s="99" t="str">
        <f>'Units and Governance'!B24</f>
        <v>Plastic bottles</v>
      </c>
      <c r="I20" s="215"/>
      <c r="J20" s="103" t="str">
        <f>'Units and Governance'!C36</f>
        <v>kg</v>
      </c>
      <c r="K20" s="100" t="str">
        <f>IF(I20="","",I20*'Units and Governance'!D36)</f>
        <v/>
      </c>
      <c r="L20" s="198">
        <f t="shared" si="1"/>
        <v>0</v>
      </c>
      <c r="M20" s="213"/>
    </row>
    <row r="21" spans="1:13" ht="20.149999999999999" customHeight="1" x14ac:dyDescent="0.35">
      <c r="A21" s="99" t="str">
        <f>'Units and Governance'!B25</f>
        <v>Foam trays</v>
      </c>
      <c r="B21" s="215"/>
      <c r="C21" s="103" t="str">
        <f>'Units and Governance'!C36</f>
        <v>kg</v>
      </c>
      <c r="D21" s="100" t="str">
        <f>IF(B21="","",B21*'Units and Governance'!D36)</f>
        <v/>
      </c>
      <c r="E21" s="198">
        <f t="shared" si="0"/>
        <v>0</v>
      </c>
      <c r="F21" s="213"/>
      <c r="G21" s="126"/>
      <c r="H21" s="99" t="str">
        <f>'Units and Governance'!B25</f>
        <v>Foam trays</v>
      </c>
      <c r="I21" s="215"/>
      <c r="J21" s="103" t="str">
        <f>'Units and Governance'!C36</f>
        <v>kg</v>
      </c>
      <c r="K21" s="100" t="str">
        <f>IF(I21="","",I21*'Units and Governance'!D36)</f>
        <v/>
      </c>
      <c r="L21" s="198">
        <f t="shared" si="1"/>
        <v>0</v>
      </c>
      <c r="M21" s="213"/>
    </row>
    <row r="22" spans="1:13" ht="20.149999999999999" customHeight="1" x14ac:dyDescent="0.35">
      <c r="A22" s="99" t="str">
        <f>'Units and Governance'!B26</f>
        <v>Tampon applicators</v>
      </c>
      <c r="B22" s="215"/>
      <c r="C22" s="103" t="str">
        <f>'Units and Governance'!C36</f>
        <v>kg</v>
      </c>
      <c r="D22" s="100" t="str">
        <f>IF(B22="","",B22*'Units and Governance'!D36)</f>
        <v/>
      </c>
      <c r="E22" s="198">
        <f t="shared" si="0"/>
        <v>0</v>
      </c>
      <c r="F22" s="213"/>
      <c r="G22" s="126"/>
      <c r="H22" s="99" t="str">
        <f>'Units and Governance'!B26</f>
        <v>Tampon applicators</v>
      </c>
      <c r="I22" s="215"/>
      <c r="J22" s="103" t="str">
        <f>'Units and Governance'!C36</f>
        <v>kg</v>
      </c>
      <c r="K22" s="100" t="str">
        <f>IF(I22="","",I22*'Units and Governance'!D36)</f>
        <v/>
      </c>
      <c r="L22" s="198">
        <f t="shared" si="1"/>
        <v>0</v>
      </c>
      <c r="M22" s="213"/>
    </row>
    <row r="23" spans="1:13" ht="20.149999999999999" customHeight="1" x14ac:dyDescent="0.35">
      <c r="A23" s="99" t="str">
        <f>'Units and Governance'!B27</f>
        <v>Other SUP 1</v>
      </c>
      <c r="B23" s="215"/>
      <c r="C23" s="103" t="str">
        <f>'Units and Governance'!C36</f>
        <v>kg</v>
      </c>
      <c r="D23" s="100" t="str">
        <f>IF(B23="","",B23*'Units and Governance'!D36)</f>
        <v/>
      </c>
      <c r="E23" s="198">
        <f t="shared" si="0"/>
        <v>0</v>
      </c>
      <c r="F23" s="213"/>
      <c r="G23" s="126"/>
      <c r="H23" s="99" t="str">
        <f>'Units and Governance'!B27</f>
        <v>Other SUP 1</v>
      </c>
      <c r="I23" s="215"/>
      <c r="J23" s="103" t="str">
        <f>'Units and Governance'!C36</f>
        <v>kg</v>
      </c>
      <c r="K23" s="100" t="str">
        <f>IF(I23="","",I23*'Units and Governance'!D36)</f>
        <v/>
      </c>
      <c r="L23" s="198">
        <f t="shared" si="1"/>
        <v>0</v>
      </c>
      <c r="M23" s="213"/>
    </row>
    <row r="24" spans="1:13" ht="20.149999999999999" customHeight="1" x14ac:dyDescent="0.35">
      <c r="A24" s="99" t="str">
        <f>'Units and Governance'!B28</f>
        <v>Other SUP 2</v>
      </c>
      <c r="B24" s="215"/>
      <c r="C24" s="103" t="str">
        <f>'Units and Governance'!C36</f>
        <v>kg</v>
      </c>
      <c r="D24" s="100" t="str">
        <f>IF(B24="","",B24*'Units and Governance'!D36)</f>
        <v/>
      </c>
      <c r="E24" s="198">
        <f t="shared" si="0"/>
        <v>0</v>
      </c>
      <c r="F24" s="213"/>
      <c r="G24" s="126"/>
      <c r="H24" s="99" t="str">
        <f>'Units and Governance'!B28</f>
        <v>Other SUP 2</v>
      </c>
      <c r="I24" s="215"/>
      <c r="J24" s="103" t="str">
        <f>'Units and Governance'!C36</f>
        <v>kg</v>
      </c>
      <c r="K24" s="100" t="str">
        <f>IF(I24="","",I24*'Units and Governance'!D36)</f>
        <v/>
      </c>
      <c r="L24" s="198">
        <f t="shared" si="1"/>
        <v>0</v>
      </c>
      <c r="M24" s="213"/>
    </row>
    <row r="25" spans="1:13" ht="20.149999999999999" customHeight="1" x14ac:dyDescent="0.35">
      <c r="A25" s="99" t="str">
        <f>'Units and Governance'!B29</f>
        <v>Other SUP 3</v>
      </c>
      <c r="B25" s="215"/>
      <c r="C25" s="103" t="str">
        <f>'Units and Governance'!C36</f>
        <v>kg</v>
      </c>
      <c r="D25" s="100" t="str">
        <f>IF(B25="","",B25*'Units and Governance'!D36)</f>
        <v/>
      </c>
      <c r="E25" s="198">
        <f t="shared" si="0"/>
        <v>0</v>
      </c>
      <c r="F25" s="213"/>
      <c r="G25" s="126"/>
      <c r="H25" s="99" t="str">
        <f>'Units and Governance'!B29</f>
        <v>Other SUP 3</v>
      </c>
      <c r="I25" s="215"/>
      <c r="J25" s="103" t="str">
        <f>'Units and Governance'!C36</f>
        <v>kg</v>
      </c>
      <c r="K25" s="100" t="str">
        <f>IF(I25="","",I25*'Units and Governance'!D36)</f>
        <v/>
      </c>
      <c r="L25" s="198">
        <f t="shared" si="1"/>
        <v>0</v>
      </c>
      <c r="M25" s="213"/>
    </row>
    <row r="26" spans="1:13" ht="20.149999999999999" customHeight="1" x14ac:dyDescent="0.35">
      <c r="A26" s="122" t="s">
        <v>233</v>
      </c>
      <c r="B26" s="123">
        <f>SUM(D15:D25)</f>
        <v>0</v>
      </c>
      <c r="C26" s="122" t="s">
        <v>178</v>
      </c>
      <c r="D26" s="123">
        <f>B26</f>
        <v>0</v>
      </c>
      <c r="E26" s="124">
        <f>SUM(E15:E25)</f>
        <v>0</v>
      </c>
      <c r="F26" s="122" t="s">
        <v>234</v>
      </c>
      <c r="G26" s="126"/>
      <c r="H26" s="122" t="s">
        <v>233</v>
      </c>
      <c r="I26" s="123">
        <f>SUM(K15:K25)</f>
        <v>0</v>
      </c>
      <c r="J26" s="122" t="s">
        <v>178</v>
      </c>
      <c r="K26" s="123">
        <f>I26</f>
        <v>0</v>
      </c>
      <c r="L26" s="124">
        <f>SUM(L15:L25)</f>
        <v>0</v>
      </c>
      <c r="M26" s="122" t="s">
        <v>234</v>
      </c>
    </row>
    <row r="27" spans="1:13" ht="20.149999999999999" customHeight="1" x14ac:dyDescent="0.35">
      <c r="G27" s="126"/>
    </row>
    <row r="28" spans="1:13" ht="20.149999999999999" customHeight="1" x14ac:dyDescent="0.35">
      <c r="A28" s="259" t="s">
        <v>235</v>
      </c>
      <c r="B28" s="259"/>
      <c r="C28" s="259"/>
      <c r="D28" s="259"/>
      <c r="E28" s="259"/>
      <c r="F28" s="259"/>
      <c r="G28" s="126"/>
      <c r="H28" s="259" t="s">
        <v>235</v>
      </c>
      <c r="I28" s="259"/>
      <c r="J28" s="259"/>
      <c r="K28" s="259"/>
      <c r="L28" s="259"/>
      <c r="M28" s="259"/>
    </row>
    <row r="29" spans="1:13" ht="20.149999999999999" customHeight="1" x14ac:dyDescent="0.35">
      <c r="A29" s="15" t="s">
        <v>236</v>
      </c>
      <c r="B29" s="15" t="s">
        <v>237</v>
      </c>
      <c r="C29" s="15" t="s">
        <v>238</v>
      </c>
      <c r="D29" s="15" t="s">
        <v>239</v>
      </c>
      <c r="E29" s="15"/>
      <c r="F29" s="153" t="s">
        <v>240</v>
      </c>
      <c r="G29" s="126"/>
      <c r="H29" s="15" t="s">
        <v>236</v>
      </c>
      <c r="I29" s="15" t="s">
        <v>237</v>
      </c>
      <c r="J29" s="15" t="s">
        <v>238</v>
      </c>
      <c r="K29" s="15" t="s">
        <v>239</v>
      </c>
      <c r="L29" s="15"/>
      <c r="M29" s="153" t="s">
        <v>240</v>
      </c>
    </row>
    <row r="30" spans="1:13" ht="20.149999999999999" customHeight="1" x14ac:dyDescent="0.35">
      <c r="A30" s="213" t="s">
        <v>241</v>
      </c>
      <c r="B30" s="214">
        <v>0</v>
      </c>
      <c r="C30" s="104" t="str">
        <f>'Units and Governance'!B5</f>
        <v>CAD</v>
      </c>
      <c r="D30" s="107" t="s">
        <v>242</v>
      </c>
      <c r="E30" s="32"/>
      <c r="F30" s="213" t="s">
        <v>243</v>
      </c>
      <c r="G30" s="126"/>
      <c r="H30" s="213" t="s">
        <v>241</v>
      </c>
      <c r="I30" s="214">
        <v>0</v>
      </c>
      <c r="J30" s="104" t="str">
        <f>'Units and Governance'!B5</f>
        <v>CAD</v>
      </c>
      <c r="K30" s="107" t="str">
        <f t="shared" ref="K30:K35" si="2">IF(OR(I30="",I$36=0),"",I30/I$36)</f>
        <v/>
      </c>
      <c r="L30" s="32"/>
      <c r="M30" s="213" t="s">
        <v>243</v>
      </c>
    </row>
    <row r="31" spans="1:13" ht="20.149999999999999" customHeight="1" x14ac:dyDescent="0.35">
      <c r="A31" s="213" t="s">
        <v>244</v>
      </c>
      <c r="B31" s="214">
        <v>0</v>
      </c>
      <c r="C31" s="104" t="str">
        <f>'Units and Governance'!B5</f>
        <v>CAD</v>
      </c>
      <c r="D31" s="107" t="str">
        <f>IF(OR(B31="",B$36=0),"",B31/B$36)</f>
        <v/>
      </c>
      <c r="E31" s="32"/>
      <c r="F31" s="213" t="s">
        <v>245</v>
      </c>
      <c r="G31" s="126"/>
      <c r="H31" s="213" t="s">
        <v>244</v>
      </c>
      <c r="I31" s="214">
        <v>0</v>
      </c>
      <c r="J31" s="104" t="str">
        <f>'Units and Governance'!B5</f>
        <v>CAD</v>
      </c>
      <c r="K31" s="107" t="str">
        <f t="shared" si="2"/>
        <v/>
      </c>
      <c r="L31" s="32"/>
      <c r="M31" s="213" t="s">
        <v>245</v>
      </c>
    </row>
    <row r="32" spans="1:13" ht="20.149999999999999" customHeight="1" x14ac:dyDescent="0.35">
      <c r="A32" s="213" t="s">
        <v>246</v>
      </c>
      <c r="B32" s="214">
        <v>0</v>
      </c>
      <c r="C32" s="104" t="str">
        <f>'Units and Governance'!B5</f>
        <v>CAD</v>
      </c>
      <c r="D32" s="107" t="str">
        <f>IF(OR(B32="",B$36=0),"",B32/B$36)</f>
        <v/>
      </c>
      <c r="E32" s="32"/>
      <c r="F32" s="213" t="s">
        <v>247</v>
      </c>
      <c r="G32" s="126"/>
      <c r="H32" s="213" t="s">
        <v>246</v>
      </c>
      <c r="I32" s="214">
        <v>0</v>
      </c>
      <c r="J32" s="104" t="str">
        <f>'Units and Governance'!B5</f>
        <v>CAD</v>
      </c>
      <c r="K32" s="107" t="str">
        <f t="shared" si="2"/>
        <v/>
      </c>
      <c r="L32" s="32"/>
      <c r="M32" s="213" t="s">
        <v>247</v>
      </c>
    </row>
    <row r="33" spans="1:13" ht="20.149999999999999" customHeight="1" x14ac:dyDescent="0.35">
      <c r="A33" s="213" t="s">
        <v>248</v>
      </c>
      <c r="B33" s="214">
        <v>0</v>
      </c>
      <c r="C33" s="104" t="str">
        <f>'Units and Governance'!B5</f>
        <v>CAD</v>
      </c>
      <c r="D33" s="107" t="str">
        <f>IF(OR(B33="",B$36=0),"",B33/B$36)</f>
        <v/>
      </c>
      <c r="E33" s="32"/>
      <c r="F33" s="213" t="s">
        <v>249</v>
      </c>
      <c r="G33" s="126"/>
      <c r="H33" s="213" t="s">
        <v>248</v>
      </c>
      <c r="I33" s="214">
        <v>0</v>
      </c>
      <c r="J33" s="104" t="str">
        <f>'Units and Governance'!B5</f>
        <v>CAD</v>
      </c>
      <c r="K33" s="107" t="str">
        <f t="shared" si="2"/>
        <v/>
      </c>
      <c r="L33" s="32"/>
      <c r="M33" s="213" t="s">
        <v>249</v>
      </c>
    </row>
    <row r="34" spans="1:13" ht="20.149999999999999" customHeight="1" x14ac:dyDescent="0.35">
      <c r="A34" s="213" t="s">
        <v>250</v>
      </c>
      <c r="B34" s="214">
        <v>0</v>
      </c>
      <c r="C34" s="104" t="str">
        <f>'Units and Governance'!B5</f>
        <v>CAD</v>
      </c>
      <c r="D34" s="107" t="str">
        <f>IF(OR(B34="",B$36=0),"",B34/B$36)</f>
        <v/>
      </c>
      <c r="E34" s="32"/>
      <c r="F34" s="213" t="s">
        <v>249</v>
      </c>
      <c r="G34" s="126"/>
      <c r="H34" s="213" t="s">
        <v>250</v>
      </c>
      <c r="I34" s="214">
        <v>0</v>
      </c>
      <c r="J34" s="104" t="str">
        <f>'Units and Governance'!B5</f>
        <v>CAD</v>
      </c>
      <c r="K34" s="107" t="str">
        <f t="shared" si="2"/>
        <v/>
      </c>
      <c r="L34" s="32"/>
      <c r="M34" s="213" t="s">
        <v>249</v>
      </c>
    </row>
    <row r="35" spans="1:13" ht="20.149999999999999" customHeight="1" x14ac:dyDescent="0.35">
      <c r="A35" s="213" t="s">
        <v>251</v>
      </c>
      <c r="B35" s="214">
        <v>0</v>
      </c>
      <c r="C35" s="104" t="str">
        <f>'Units and Governance'!B5</f>
        <v>CAD</v>
      </c>
      <c r="D35" s="107" t="str">
        <f>IF(OR(B35="",B$36=0),"",B35/B$36)</f>
        <v/>
      </c>
      <c r="E35" s="32"/>
      <c r="F35" s="213" t="s">
        <v>249</v>
      </c>
      <c r="G35" s="126"/>
      <c r="H35" s="213" t="s">
        <v>251</v>
      </c>
      <c r="I35" s="214">
        <v>0</v>
      </c>
      <c r="J35" s="104" t="str">
        <f>'Units and Governance'!B5</f>
        <v>CAD</v>
      </c>
      <c r="K35" s="107" t="str">
        <f t="shared" si="2"/>
        <v/>
      </c>
      <c r="L35" s="32"/>
      <c r="M35" s="213" t="s">
        <v>249</v>
      </c>
    </row>
    <row r="36" spans="1:13" ht="20.149999999999999" customHeight="1" x14ac:dyDescent="0.35">
      <c r="A36" s="122" t="s">
        <v>252</v>
      </c>
      <c r="B36" s="123">
        <f>SUM(B30:B35)</f>
        <v>0</v>
      </c>
      <c r="C36" s="122" t="str">
        <f>'Units and Governance'!B5</f>
        <v>CAD</v>
      </c>
      <c r="D36" s="125">
        <v>1</v>
      </c>
      <c r="E36" s="125"/>
      <c r="F36" s="122"/>
      <c r="G36" s="126"/>
      <c r="H36" s="122" t="s">
        <v>252</v>
      </c>
      <c r="I36" s="123">
        <f>SUM(I30:I35)</f>
        <v>0</v>
      </c>
      <c r="J36" s="122" t="str">
        <f>'Units and Governance'!B5</f>
        <v>CAD</v>
      </c>
      <c r="K36" s="125">
        <v>1</v>
      </c>
      <c r="L36" s="125"/>
      <c r="M36" s="122"/>
    </row>
    <row r="37" spans="1:13" ht="20.149999999999999" customHeight="1" x14ac:dyDescent="0.35">
      <c r="G37" s="126"/>
    </row>
    <row r="38" spans="1:13" ht="20.149999999999999" customHeight="1" x14ac:dyDescent="0.35">
      <c r="A38" s="259" t="s">
        <v>253</v>
      </c>
      <c r="B38" s="259"/>
      <c r="C38" s="259"/>
      <c r="D38" s="259"/>
      <c r="E38" s="259"/>
      <c r="F38" s="259"/>
      <c r="G38" s="126"/>
      <c r="H38" s="259" t="s">
        <v>253</v>
      </c>
      <c r="I38" s="259"/>
      <c r="J38" s="259"/>
      <c r="K38" s="259"/>
      <c r="L38" s="259"/>
      <c r="M38" s="259"/>
    </row>
    <row r="39" spans="1:13" ht="20.149999999999999" customHeight="1" x14ac:dyDescent="0.35">
      <c r="A39" s="15" t="s">
        <v>254</v>
      </c>
      <c r="B39" s="15" t="s">
        <v>214</v>
      </c>
      <c r="C39" s="15" t="s">
        <v>215</v>
      </c>
      <c r="D39" s="15"/>
      <c r="E39" s="15"/>
      <c r="F39" s="74" t="s">
        <v>255</v>
      </c>
      <c r="G39" s="126"/>
      <c r="H39" s="15" t="s">
        <v>254</v>
      </c>
      <c r="I39" s="15" t="s">
        <v>214</v>
      </c>
      <c r="J39" s="15" t="s">
        <v>215</v>
      </c>
      <c r="K39" s="15"/>
      <c r="L39" s="15"/>
      <c r="M39" s="74" t="s">
        <v>255</v>
      </c>
    </row>
    <row r="40" spans="1:13" ht="20.149999999999999" customHeight="1" x14ac:dyDescent="0.35">
      <c r="A40" s="9" t="s">
        <v>256</v>
      </c>
      <c r="B40" s="100" t="str">
        <f>IF(OR(B9="",B6="",B6=0),"",B9/B6)</f>
        <v/>
      </c>
      <c r="C40" s="103" t="s">
        <v>257</v>
      </c>
      <c r="F40" s="9" t="s">
        <v>258</v>
      </c>
      <c r="G40" s="126"/>
      <c r="H40" s="9" t="s">
        <v>256</v>
      </c>
      <c r="I40" s="100" t="str">
        <f>IF(OR(I9="",I6="",I6=0),"",I9/I6)</f>
        <v/>
      </c>
      <c r="J40" s="103" t="s">
        <v>257</v>
      </c>
      <c r="M40" s="9" t="s">
        <v>258</v>
      </c>
    </row>
    <row r="41" spans="1:13" ht="20.149999999999999" customHeight="1" x14ac:dyDescent="0.35">
      <c r="A41" s="9" t="s">
        <v>259</v>
      </c>
      <c r="B41" s="100" t="str">
        <f>IF(OR(B36=0,B6="",B6=0),"",B36/B6)</f>
        <v/>
      </c>
      <c r="C41" s="103" t="str">
        <f>CONCATENATE('Units and Governance'!B5,"/person")</f>
        <v>CAD/person</v>
      </c>
      <c r="F41" s="9" t="s">
        <v>260</v>
      </c>
      <c r="G41" s="126"/>
      <c r="H41" s="9" t="s">
        <v>259</v>
      </c>
      <c r="I41" s="100" t="str">
        <f>IF(OR(I36=0,I6="",I6=0),"",I36/I6)</f>
        <v/>
      </c>
      <c r="J41" s="103" t="str">
        <f>CONCATENATE('Units and Governance'!B5,"/person")</f>
        <v>CAD/person</v>
      </c>
      <c r="M41" s="9" t="s">
        <v>260</v>
      </c>
    </row>
    <row r="42" spans="1:13" ht="20.149999999999999" customHeight="1" x14ac:dyDescent="0.35">
      <c r="A42" s="9" t="s">
        <v>261</v>
      </c>
      <c r="B42" s="100" t="str">
        <f>IF(OR(B10="",B6="",B6=0),"",B10/B6)</f>
        <v/>
      </c>
      <c r="C42" s="103" t="str">
        <f>CONCATENATE('Units and Governance'!B5,"/person")</f>
        <v>CAD/person</v>
      </c>
      <c r="F42" s="9" t="s">
        <v>262</v>
      </c>
      <c r="G42" s="126"/>
      <c r="H42" s="9" t="s">
        <v>261</v>
      </c>
      <c r="I42" s="100" t="str">
        <f>IF(OR(I10="",I6="",I6=0),"",I10/I6)</f>
        <v/>
      </c>
      <c r="J42" s="103" t="str">
        <f>CONCATENATE('Units and Governance'!B5,"/person")</f>
        <v>CAD/person</v>
      </c>
      <c r="M42" s="9" t="s">
        <v>262</v>
      </c>
    </row>
    <row r="43" spans="1:13" ht="20.149999999999999" customHeight="1" x14ac:dyDescent="0.35">
      <c r="G43" s="126"/>
    </row>
    <row r="44" spans="1:13" ht="24" customHeight="1" x14ac:dyDescent="0.4">
      <c r="A44" s="263" t="s">
        <v>263</v>
      </c>
      <c r="B44" s="263"/>
      <c r="C44" s="263"/>
      <c r="D44" s="263"/>
      <c r="E44" s="263"/>
      <c r="F44" s="263"/>
      <c r="G44" s="127"/>
      <c r="H44" s="263" t="s">
        <v>263</v>
      </c>
      <c r="I44" s="263"/>
      <c r="J44" s="263"/>
      <c r="K44" s="263"/>
      <c r="L44" s="263"/>
      <c r="M44" s="263"/>
    </row>
    <row r="45" spans="1:13" ht="20.149999999999999" customHeight="1" x14ac:dyDescent="0.35">
      <c r="A45" s="259" t="s">
        <v>213</v>
      </c>
      <c r="B45" s="259"/>
      <c r="C45" s="259"/>
      <c r="D45" s="259"/>
      <c r="E45" s="259"/>
      <c r="F45" s="259"/>
      <c r="G45" s="126"/>
      <c r="H45" s="259" t="s">
        <v>213</v>
      </c>
      <c r="I45" s="259"/>
      <c r="J45" s="259"/>
      <c r="K45" s="259"/>
      <c r="L45" s="259"/>
      <c r="M45" s="259"/>
    </row>
    <row r="46" spans="1:13" ht="20.149999999999999" customHeight="1" x14ac:dyDescent="0.35">
      <c r="A46" s="15" t="s">
        <v>92</v>
      </c>
      <c r="B46" s="15" t="s">
        <v>214</v>
      </c>
      <c r="C46" s="15" t="s">
        <v>215</v>
      </c>
      <c r="D46" s="15" t="s">
        <v>216</v>
      </c>
      <c r="E46" s="15"/>
      <c r="F46" s="74" t="s">
        <v>217</v>
      </c>
      <c r="G46" s="126"/>
      <c r="H46" s="15" t="s">
        <v>92</v>
      </c>
      <c r="I46" s="15" t="s">
        <v>214</v>
      </c>
      <c r="J46" s="15" t="s">
        <v>215</v>
      </c>
      <c r="K46" s="15" t="s">
        <v>216</v>
      </c>
      <c r="L46" s="15"/>
      <c r="M46" s="74" t="s">
        <v>217</v>
      </c>
    </row>
    <row r="47" spans="1:13" ht="20.149999999999999" customHeight="1" x14ac:dyDescent="0.35">
      <c r="A47" s="9" t="s">
        <v>264</v>
      </c>
      <c r="B47" s="213">
        <v>0</v>
      </c>
      <c r="C47" s="9" t="s">
        <v>146</v>
      </c>
      <c r="F47" s="9" t="s">
        <v>265</v>
      </c>
      <c r="G47" s="126"/>
      <c r="H47" s="9" t="s">
        <v>264</v>
      </c>
      <c r="I47" s="213">
        <v>0</v>
      </c>
      <c r="J47" s="9" t="s">
        <v>146</v>
      </c>
      <c r="M47" s="9" t="s">
        <v>265</v>
      </c>
    </row>
    <row r="48" spans="1:13" ht="20.149999999999999" customHeight="1" x14ac:dyDescent="0.35">
      <c r="A48" s="9" t="s">
        <v>266</v>
      </c>
      <c r="B48" s="214">
        <v>0</v>
      </c>
      <c r="C48" s="104" t="str">
        <f>'Units and Governance'!C37</f>
        <v>kg</v>
      </c>
      <c r="D48" s="104">
        <f>IF(B48="","",B48*'Units and Governance'!D37)</f>
        <v>0</v>
      </c>
      <c r="F48" s="9" t="s">
        <v>221</v>
      </c>
      <c r="G48" s="126"/>
      <c r="H48" s="9" t="s">
        <v>266</v>
      </c>
      <c r="I48" s="214">
        <v>0</v>
      </c>
      <c r="J48" s="104" t="str">
        <f>'Units and Governance'!C37</f>
        <v>kg</v>
      </c>
      <c r="K48" s="104">
        <f>IF(I48="","",I48*'Units and Governance'!D37)</f>
        <v>0</v>
      </c>
      <c r="M48" s="9" t="s">
        <v>221</v>
      </c>
    </row>
    <row r="49" spans="1:13" ht="20.149999999999999" customHeight="1" x14ac:dyDescent="0.35">
      <c r="A49" s="9" t="s">
        <v>267</v>
      </c>
      <c r="B49" s="214">
        <v>15</v>
      </c>
      <c r="C49" s="9" t="s">
        <v>223</v>
      </c>
      <c r="F49" s="9" t="s">
        <v>224</v>
      </c>
      <c r="G49" s="126"/>
      <c r="H49" s="9" t="s">
        <v>267</v>
      </c>
      <c r="I49" s="214">
        <v>15</v>
      </c>
      <c r="J49" s="9" t="s">
        <v>223</v>
      </c>
      <c r="M49" s="9" t="s">
        <v>224</v>
      </c>
    </row>
    <row r="50" spans="1:13" ht="20.149999999999999" customHeight="1" x14ac:dyDescent="0.35">
      <c r="A50" s="9" t="s">
        <v>225</v>
      </c>
      <c r="B50" s="100">
        <f>IF(OR(B48="",B49=""),"",D48*B49/100)</f>
        <v>0</v>
      </c>
      <c r="C50" s="103" t="s">
        <v>178</v>
      </c>
      <c r="D50" s="103"/>
      <c r="E50" s="7"/>
      <c r="F50" s="9" t="s">
        <v>226</v>
      </c>
      <c r="G50" s="126"/>
      <c r="H50" s="9" t="s">
        <v>225</v>
      </c>
      <c r="I50" s="100">
        <f>IF(OR(I48="",I49=""),"",K48*I49/100)</f>
        <v>0</v>
      </c>
      <c r="J50" s="103" t="s">
        <v>178</v>
      </c>
      <c r="K50" s="103"/>
      <c r="L50" s="7"/>
      <c r="M50" s="9" t="s">
        <v>226</v>
      </c>
    </row>
    <row r="51" spans="1:13" ht="20.149999999999999" customHeight="1" x14ac:dyDescent="0.35">
      <c r="A51" s="9" t="s">
        <v>227</v>
      </c>
      <c r="B51" s="100">
        <f>IF(B77&gt;0, B77*(B49/100), 0)</f>
        <v>0</v>
      </c>
      <c r="C51" s="103" t="str">
        <f>'Units and Governance'!B5</f>
        <v>CAD</v>
      </c>
      <c r="D51" s="72"/>
      <c r="E51" s="72"/>
      <c r="F51" s="9" t="s">
        <v>228</v>
      </c>
      <c r="G51" s="126"/>
      <c r="H51" s="9" t="s">
        <v>227</v>
      </c>
      <c r="I51" s="100">
        <f>IF(I77&gt;0, I77*(I49/100), 0)</f>
        <v>0</v>
      </c>
      <c r="J51" s="103" t="str">
        <f>'Units and Governance'!B5</f>
        <v>CAD</v>
      </c>
      <c r="K51" s="72"/>
      <c r="L51" s="72"/>
      <c r="M51" s="9" t="s">
        <v>228</v>
      </c>
    </row>
    <row r="52" spans="1:13" ht="20.149999999999999" customHeight="1" x14ac:dyDescent="0.35">
      <c r="B52" s="31"/>
      <c r="G52" s="126"/>
      <c r="I52" s="31"/>
    </row>
    <row r="53" spans="1:13" ht="20.149999999999999" customHeight="1" x14ac:dyDescent="0.35">
      <c r="G53" s="126"/>
    </row>
    <row r="54" spans="1:13" ht="20.149999999999999" customHeight="1" x14ac:dyDescent="0.35">
      <c r="A54" s="259" t="s">
        <v>229</v>
      </c>
      <c r="B54" s="259"/>
      <c r="C54" s="259"/>
      <c r="D54" s="259"/>
      <c r="E54" s="259"/>
      <c r="F54" s="259"/>
      <c r="G54" s="126"/>
      <c r="H54" s="259" t="s">
        <v>229</v>
      </c>
      <c r="I54" s="259"/>
      <c r="J54" s="259"/>
      <c r="K54" s="259"/>
      <c r="L54" s="259"/>
      <c r="M54" s="259"/>
    </row>
    <row r="55" spans="1:13" ht="20.149999999999999" customHeight="1" x14ac:dyDescent="0.35">
      <c r="A55" s="15" t="s">
        <v>230</v>
      </c>
      <c r="B55" s="15" t="s">
        <v>231</v>
      </c>
      <c r="C55" s="15" t="s">
        <v>215</v>
      </c>
      <c r="D55" s="15" t="s">
        <v>216</v>
      </c>
      <c r="E55" s="15" t="str">
        <f>"Cost ("&amp;'Units and Governance'!B5&amp;")"</f>
        <v>Cost (CAD)</v>
      </c>
      <c r="F55" s="153" t="s">
        <v>232</v>
      </c>
      <c r="G55" s="126"/>
      <c r="H55" s="15" t="s">
        <v>230</v>
      </c>
      <c r="I55" s="15" t="s">
        <v>231</v>
      </c>
      <c r="J55" s="15" t="s">
        <v>215</v>
      </c>
      <c r="K55" s="15" t="s">
        <v>216</v>
      </c>
      <c r="L55" s="15" t="str">
        <f>"Cost ("&amp;'Units and Governance'!B5&amp;")"</f>
        <v>Cost (CAD)</v>
      </c>
      <c r="M55" s="153" t="s">
        <v>232</v>
      </c>
    </row>
    <row r="56" spans="1:13" ht="20.149999999999999" customHeight="1" x14ac:dyDescent="0.35">
      <c r="A56" s="99" t="str">
        <f>'Units and Governance'!B19</f>
        <v>Lined hot cups</v>
      </c>
      <c r="B56" s="215"/>
      <c r="C56" s="103" t="str">
        <f>'Units and Governance'!C37</f>
        <v>kg</v>
      </c>
      <c r="D56" s="100" t="str">
        <f>IF(B56="","",B56*'Units and Governance'!D37)</f>
        <v/>
      </c>
      <c r="E56" s="198">
        <f t="shared" ref="E56:E66" si="3">IF($B$77=0,0,IF(AND($D$48&lt;&gt;"",$D$48&gt;0),(D56/$D$48)*$B$77,IF($D$67&gt;0,(D56/$D$67)*$B$77,0)))</f>
        <v>0</v>
      </c>
      <c r="F56" s="213"/>
      <c r="G56" s="126"/>
      <c r="H56" s="99" t="str">
        <f>'Units and Governance'!B19</f>
        <v>Lined hot cups</v>
      </c>
      <c r="I56" s="215"/>
      <c r="J56" s="103" t="str">
        <f>'Units and Governance'!C37</f>
        <v>kg</v>
      </c>
      <c r="K56" s="100" t="str">
        <f>IF(I56="","",I56*'Units and Governance'!D37)</f>
        <v/>
      </c>
      <c r="L56" s="198">
        <f t="shared" ref="L56:L66" si="4">IF($I$77=0,0,IF(AND($K$48&lt;&gt;"",$K$48&gt;0),(K56/$K$48)*$I$77,IF($K$67&gt;0,(K56/$K$67)*$I$77,0)))</f>
        <v>0</v>
      </c>
      <c r="M56" s="213"/>
    </row>
    <row r="57" spans="1:13" ht="20.149999999999999" customHeight="1" x14ac:dyDescent="0.35">
      <c r="A57" s="99" t="str">
        <f>'Units and Governance'!B20</f>
        <v>Plastic cold cups</v>
      </c>
      <c r="B57" s="215"/>
      <c r="C57" s="103" t="str">
        <f>'Units and Governance'!C37</f>
        <v>kg</v>
      </c>
      <c r="D57" s="100" t="str">
        <f>IF(B57="","",B57*'Units and Governance'!D37)</f>
        <v/>
      </c>
      <c r="E57" s="198">
        <f t="shared" si="3"/>
        <v>0</v>
      </c>
      <c r="F57" s="213"/>
      <c r="G57" s="126"/>
      <c r="H57" s="99" t="str">
        <f>'Units and Governance'!B20</f>
        <v>Plastic cold cups</v>
      </c>
      <c r="I57" s="215"/>
      <c r="J57" s="103" t="str">
        <f>'Units and Governance'!C37</f>
        <v>kg</v>
      </c>
      <c r="K57" s="100" t="str">
        <f>IF(I57="","",I57*'Units and Governance'!D37)</f>
        <v/>
      </c>
      <c r="L57" s="198">
        <f t="shared" si="4"/>
        <v>0</v>
      </c>
      <c r="M57" s="213"/>
    </row>
    <row r="58" spans="1:13" ht="20.149999999999999" customHeight="1" x14ac:dyDescent="0.35">
      <c r="A58" s="99" t="str">
        <f>'Units and Governance'!B21</f>
        <v>Cup lids</v>
      </c>
      <c r="B58" s="215"/>
      <c r="C58" s="103" t="str">
        <f>'Units and Governance'!C37</f>
        <v>kg</v>
      </c>
      <c r="D58" s="100" t="str">
        <f>IF(B58="","",B58*'Units and Governance'!D37)</f>
        <v/>
      </c>
      <c r="E58" s="198">
        <f t="shared" si="3"/>
        <v>0</v>
      </c>
      <c r="F58" s="213"/>
      <c r="G58" s="126"/>
      <c r="H58" s="99" t="str">
        <f>'Units and Governance'!B21</f>
        <v>Cup lids</v>
      </c>
      <c r="I58" s="215"/>
      <c r="J58" s="103" t="str">
        <f>'Units and Governance'!C37</f>
        <v>kg</v>
      </c>
      <c r="K58" s="100" t="str">
        <f>IF(I58="","",I58*'Units and Governance'!D37)</f>
        <v/>
      </c>
      <c r="L58" s="198">
        <f t="shared" si="4"/>
        <v>0</v>
      </c>
      <c r="M58" s="213"/>
    </row>
    <row r="59" spans="1:13" ht="20.149999999999999" customHeight="1" x14ac:dyDescent="0.35">
      <c r="A59" s="99" t="str">
        <f>'Units and Governance'!B22</f>
        <v>Vaping devices</v>
      </c>
      <c r="B59" s="215"/>
      <c r="C59" s="103" t="str">
        <f>'Units and Governance'!C37</f>
        <v>kg</v>
      </c>
      <c r="D59" s="100" t="str">
        <f>IF(B59="","",B59*'Units and Governance'!D37)</f>
        <v/>
      </c>
      <c r="E59" s="198">
        <f t="shared" si="3"/>
        <v>0</v>
      </c>
      <c r="F59" s="213"/>
      <c r="G59" s="126"/>
      <c r="H59" s="99" t="str">
        <f>'Units and Governance'!B22</f>
        <v>Vaping devices</v>
      </c>
      <c r="I59" s="215"/>
      <c r="J59" s="103" t="str">
        <f>'Units and Governance'!C37</f>
        <v>kg</v>
      </c>
      <c r="K59" s="100" t="str">
        <f>IF(I59="","",I59*'Units and Governance'!D37)</f>
        <v/>
      </c>
      <c r="L59" s="198">
        <f t="shared" si="4"/>
        <v>0</v>
      </c>
      <c r="M59" s="213"/>
    </row>
    <row r="60" spans="1:13" ht="20.149999999999999" customHeight="1" x14ac:dyDescent="0.35">
      <c r="A60" s="99" t="str">
        <f>'Units and Governance'!B23</f>
        <v>Bottle caps</v>
      </c>
      <c r="B60" s="215"/>
      <c r="C60" s="103" t="str">
        <f>'Units and Governance'!C37</f>
        <v>kg</v>
      </c>
      <c r="D60" s="100" t="str">
        <f>IF(B60="","",B60*'Units and Governance'!D37)</f>
        <v/>
      </c>
      <c r="E60" s="198">
        <f t="shared" si="3"/>
        <v>0</v>
      </c>
      <c r="F60" s="213"/>
      <c r="G60" s="126"/>
      <c r="H60" s="99" t="str">
        <f>'Units and Governance'!B23</f>
        <v>Bottle caps</v>
      </c>
      <c r="I60" s="215"/>
      <c r="J60" s="103" t="str">
        <f>'Units and Governance'!C37</f>
        <v>kg</v>
      </c>
      <c r="K60" s="100" t="str">
        <f>IF(I60="","",I60*'Units and Governance'!D37)</f>
        <v/>
      </c>
      <c r="L60" s="198">
        <f t="shared" si="4"/>
        <v>0</v>
      </c>
      <c r="M60" s="213"/>
    </row>
    <row r="61" spans="1:13" ht="20.149999999999999" customHeight="1" x14ac:dyDescent="0.35">
      <c r="A61" s="99" t="str">
        <f>'Units and Governance'!B24</f>
        <v>Plastic bottles</v>
      </c>
      <c r="B61" s="215"/>
      <c r="C61" s="103" t="str">
        <f>'Units and Governance'!C37</f>
        <v>kg</v>
      </c>
      <c r="D61" s="100" t="str">
        <f>IF(B61="","",B61*'Units and Governance'!D37)</f>
        <v/>
      </c>
      <c r="E61" s="198">
        <f t="shared" si="3"/>
        <v>0</v>
      </c>
      <c r="F61" s="213"/>
      <c r="G61" s="126"/>
      <c r="H61" s="99" t="str">
        <f>'Units and Governance'!B24</f>
        <v>Plastic bottles</v>
      </c>
      <c r="I61" s="215"/>
      <c r="J61" s="103" t="str">
        <f>'Units and Governance'!C37</f>
        <v>kg</v>
      </c>
      <c r="K61" s="100" t="str">
        <f>IF(I61="","",I61*'Units and Governance'!D37)</f>
        <v/>
      </c>
      <c r="L61" s="198">
        <f t="shared" si="4"/>
        <v>0</v>
      </c>
      <c r="M61" s="213"/>
    </row>
    <row r="62" spans="1:13" ht="20.149999999999999" customHeight="1" x14ac:dyDescent="0.35">
      <c r="A62" s="99" t="str">
        <f>'Units and Governance'!B25</f>
        <v>Foam trays</v>
      </c>
      <c r="B62" s="215"/>
      <c r="C62" s="103" t="str">
        <f>'Units and Governance'!C37</f>
        <v>kg</v>
      </c>
      <c r="D62" s="100" t="str">
        <f>IF(B62="","",B62*'Units and Governance'!D37)</f>
        <v/>
      </c>
      <c r="E62" s="198">
        <f t="shared" si="3"/>
        <v>0</v>
      </c>
      <c r="F62" s="213"/>
      <c r="G62" s="126"/>
      <c r="H62" s="99" t="str">
        <f>'Units and Governance'!B25</f>
        <v>Foam trays</v>
      </c>
      <c r="I62" s="215"/>
      <c r="J62" s="103" t="str">
        <f>'Units and Governance'!C37</f>
        <v>kg</v>
      </c>
      <c r="K62" s="100" t="str">
        <f>IF(I62="","",I62*'Units and Governance'!D37)</f>
        <v/>
      </c>
      <c r="L62" s="198">
        <f t="shared" si="4"/>
        <v>0</v>
      </c>
      <c r="M62" s="213"/>
    </row>
    <row r="63" spans="1:13" ht="20.149999999999999" customHeight="1" x14ac:dyDescent="0.35">
      <c r="A63" s="99" t="str">
        <f>'Units and Governance'!B26</f>
        <v>Tampon applicators</v>
      </c>
      <c r="B63" s="215"/>
      <c r="C63" s="103" t="str">
        <f>'Units and Governance'!C37</f>
        <v>kg</v>
      </c>
      <c r="D63" s="100" t="str">
        <f>IF(B63="","",B63*'Units and Governance'!D37)</f>
        <v/>
      </c>
      <c r="E63" s="198">
        <f t="shared" si="3"/>
        <v>0</v>
      </c>
      <c r="F63" s="213"/>
      <c r="G63" s="126"/>
      <c r="H63" s="99" t="str">
        <f>'Units and Governance'!B26</f>
        <v>Tampon applicators</v>
      </c>
      <c r="I63" s="215"/>
      <c r="J63" s="103" t="str">
        <f>'Units and Governance'!C37</f>
        <v>kg</v>
      </c>
      <c r="K63" s="100" t="str">
        <f>IF(I63="","",I63*'Units and Governance'!D37)</f>
        <v/>
      </c>
      <c r="L63" s="198">
        <f t="shared" si="4"/>
        <v>0</v>
      </c>
      <c r="M63" s="213"/>
    </row>
    <row r="64" spans="1:13" ht="20.149999999999999" customHeight="1" x14ac:dyDescent="0.35">
      <c r="A64" s="99" t="str">
        <f>'Units and Governance'!B27</f>
        <v>Other SUP 1</v>
      </c>
      <c r="B64" s="215"/>
      <c r="C64" s="103" t="str">
        <f>'Units and Governance'!C37</f>
        <v>kg</v>
      </c>
      <c r="D64" s="100" t="str">
        <f>IF(B64="","",B64*'Units and Governance'!D37)</f>
        <v/>
      </c>
      <c r="E64" s="198">
        <f t="shared" si="3"/>
        <v>0</v>
      </c>
      <c r="F64" s="213"/>
      <c r="G64" s="126"/>
      <c r="H64" s="99" t="str">
        <f>'Units and Governance'!B27</f>
        <v>Other SUP 1</v>
      </c>
      <c r="I64" s="215"/>
      <c r="J64" s="103" t="str">
        <f>'Units and Governance'!C37</f>
        <v>kg</v>
      </c>
      <c r="K64" s="100" t="str">
        <f>IF(I64="","",I64*'Units and Governance'!D37)</f>
        <v/>
      </c>
      <c r="L64" s="198">
        <f t="shared" si="4"/>
        <v>0</v>
      </c>
      <c r="M64" s="213"/>
    </row>
    <row r="65" spans="1:13" ht="20.149999999999999" customHeight="1" x14ac:dyDescent="0.35">
      <c r="A65" s="99" t="str">
        <f>'Units and Governance'!B28</f>
        <v>Other SUP 2</v>
      </c>
      <c r="B65" s="215"/>
      <c r="C65" s="103" t="str">
        <f>'Units and Governance'!C37</f>
        <v>kg</v>
      </c>
      <c r="D65" s="100" t="str">
        <f>IF(B65="","",B65*'Units and Governance'!D37)</f>
        <v/>
      </c>
      <c r="E65" s="198">
        <f t="shared" si="3"/>
        <v>0</v>
      </c>
      <c r="F65" s="213"/>
      <c r="G65" s="126"/>
      <c r="H65" s="99" t="str">
        <f>'Units and Governance'!B28</f>
        <v>Other SUP 2</v>
      </c>
      <c r="I65" s="215"/>
      <c r="J65" s="103" t="str">
        <f>'Units and Governance'!C37</f>
        <v>kg</v>
      </c>
      <c r="K65" s="100" t="str">
        <f>IF(I65="","",I65*'Units and Governance'!D37)</f>
        <v/>
      </c>
      <c r="L65" s="198">
        <f t="shared" si="4"/>
        <v>0</v>
      </c>
      <c r="M65" s="213"/>
    </row>
    <row r="66" spans="1:13" ht="20.149999999999999" customHeight="1" x14ac:dyDescent="0.35">
      <c r="A66" s="99" t="str">
        <f>'Units and Governance'!B29</f>
        <v>Other SUP 3</v>
      </c>
      <c r="B66" s="215"/>
      <c r="C66" s="103" t="str">
        <f>'Units and Governance'!C37</f>
        <v>kg</v>
      </c>
      <c r="D66" s="100" t="str">
        <f>IF(B66="","",B66*'Units and Governance'!D37)</f>
        <v/>
      </c>
      <c r="E66" s="198">
        <f t="shared" si="3"/>
        <v>0</v>
      </c>
      <c r="F66" s="213"/>
      <c r="G66" s="126"/>
      <c r="H66" s="99" t="str">
        <f>'Units and Governance'!B29</f>
        <v>Other SUP 3</v>
      </c>
      <c r="I66" s="215"/>
      <c r="J66" s="103" t="str">
        <f>'Units and Governance'!C37</f>
        <v>kg</v>
      </c>
      <c r="K66" s="100" t="str">
        <f>IF(I66="","",I66*'Units and Governance'!D37)</f>
        <v/>
      </c>
      <c r="L66" s="198">
        <f t="shared" si="4"/>
        <v>0</v>
      </c>
      <c r="M66" s="213"/>
    </row>
    <row r="67" spans="1:13" ht="20.149999999999999" customHeight="1" x14ac:dyDescent="0.35">
      <c r="A67" s="122" t="s">
        <v>233</v>
      </c>
      <c r="B67" s="123">
        <f>SUM(D56:D66)</f>
        <v>0</v>
      </c>
      <c r="C67" s="122" t="s">
        <v>178</v>
      </c>
      <c r="D67" s="123">
        <f>B67</f>
        <v>0</v>
      </c>
      <c r="E67" s="124">
        <f>SUM(E56:E66)</f>
        <v>0</v>
      </c>
      <c r="F67" s="122" t="s">
        <v>268</v>
      </c>
      <c r="G67" s="126"/>
      <c r="H67" s="122" t="s">
        <v>233</v>
      </c>
      <c r="I67" s="123">
        <f>SUM(K56:K66)</f>
        <v>0</v>
      </c>
      <c r="J67" s="122" t="s">
        <v>178</v>
      </c>
      <c r="K67" s="123">
        <f>I67</f>
        <v>0</v>
      </c>
      <c r="L67" s="124">
        <f>SUM(L56:L66)</f>
        <v>0</v>
      </c>
      <c r="M67" s="122" t="s">
        <v>268</v>
      </c>
    </row>
    <row r="68" spans="1:13" ht="20.149999999999999" customHeight="1" x14ac:dyDescent="0.35">
      <c r="G68" s="126"/>
    </row>
    <row r="69" spans="1:13" ht="20.149999999999999" customHeight="1" x14ac:dyDescent="0.35">
      <c r="A69" s="259" t="s">
        <v>235</v>
      </c>
      <c r="B69" s="259"/>
      <c r="C69" s="259"/>
      <c r="D69" s="259"/>
      <c r="E69" s="259"/>
      <c r="F69" s="259"/>
      <c r="G69" s="126"/>
      <c r="H69" s="259" t="s">
        <v>235</v>
      </c>
      <c r="I69" s="259"/>
      <c r="J69" s="259"/>
      <c r="K69" s="259"/>
      <c r="L69" s="259"/>
      <c r="M69" s="259"/>
    </row>
    <row r="70" spans="1:13" ht="20.149999999999999" customHeight="1" x14ac:dyDescent="0.35">
      <c r="A70" s="15" t="s">
        <v>236</v>
      </c>
      <c r="B70" s="15" t="s">
        <v>237</v>
      </c>
      <c r="C70" s="15" t="s">
        <v>238</v>
      </c>
      <c r="D70" s="15" t="s">
        <v>239</v>
      </c>
      <c r="E70" s="15"/>
      <c r="F70" s="153" t="s">
        <v>240</v>
      </c>
      <c r="G70" s="126"/>
      <c r="H70" s="15" t="s">
        <v>236</v>
      </c>
      <c r="I70" s="15" t="s">
        <v>237</v>
      </c>
      <c r="J70" s="15" t="s">
        <v>238</v>
      </c>
      <c r="K70" s="15" t="s">
        <v>239</v>
      </c>
      <c r="L70" s="15"/>
      <c r="M70" s="153" t="s">
        <v>240</v>
      </c>
    </row>
    <row r="71" spans="1:13" ht="20.149999999999999" customHeight="1" x14ac:dyDescent="0.35">
      <c r="A71" s="213" t="s">
        <v>241</v>
      </c>
      <c r="B71" s="214">
        <v>0</v>
      </c>
      <c r="C71" s="104" t="str">
        <f>'Units and Governance'!B5</f>
        <v>CAD</v>
      </c>
      <c r="D71" s="107" t="str">
        <f t="shared" ref="D71:D76" si="5">IF(OR(B71="",B$77=0),"",B71/B$77)</f>
        <v/>
      </c>
      <c r="E71" s="32"/>
      <c r="F71" s="213" t="s">
        <v>243</v>
      </c>
      <c r="G71" s="126"/>
      <c r="H71" s="213" t="s">
        <v>241</v>
      </c>
      <c r="I71" s="214">
        <v>0</v>
      </c>
      <c r="J71" s="104" t="str">
        <f>'Units and Governance'!B5</f>
        <v>CAD</v>
      </c>
      <c r="K71" s="107" t="str">
        <f t="shared" ref="K71:K76" si="6">IF(OR(I71="",I$77=0),"",I71/I$77)</f>
        <v/>
      </c>
      <c r="L71" s="32"/>
      <c r="M71" s="213" t="s">
        <v>243</v>
      </c>
    </row>
    <row r="72" spans="1:13" ht="20.149999999999999" customHeight="1" x14ac:dyDescent="0.35">
      <c r="A72" s="213" t="s">
        <v>244</v>
      </c>
      <c r="B72" s="214">
        <v>0</v>
      </c>
      <c r="C72" s="104" t="str">
        <f>'Units and Governance'!B5</f>
        <v>CAD</v>
      </c>
      <c r="D72" s="107" t="str">
        <f t="shared" si="5"/>
        <v/>
      </c>
      <c r="E72" s="32"/>
      <c r="F72" s="213" t="s">
        <v>269</v>
      </c>
      <c r="G72" s="126"/>
      <c r="H72" s="213" t="s">
        <v>244</v>
      </c>
      <c r="I72" s="214">
        <v>0</v>
      </c>
      <c r="J72" s="104" t="str">
        <f>'Units and Governance'!B5</f>
        <v>CAD</v>
      </c>
      <c r="K72" s="107" t="str">
        <f t="shared" si="6"/>
        <v/>
      </c>
      <c r="L72" s="32"/>
      <c r="M72" s="213" t="s">
        <v>269</v>
      </c>
    </row>
    <row r="73" spans="1:13" ht="20.149999999999999" customHeight="1" x14ac:dyDescent="0.35">
      <c r="A73" s="213" t="s">
        <v>270</v>
      </c>
      <c r="B73" s="214">
        <v>0</v>
      </c>
      <c r="C73" s="104" t="str">
        <f>'Units and Governance'!B5</f>
        <v>CAD</v>
      </c>
      <c r="D73" s="107" t="str">
        <f t="shared" si="5"/>
        <v/>
      </c>
      <c r="E73" s="32"/>
      <c r="F73" s="213" t="s">
        <v>271</v>
      </c>
      <c r="G73" s="126"/>
      <c r="H73" s="213" t="s">
        <v>270</v>
      </c>
      <c r="I73" s="214">
        <v>0</v>
      </c>
      <c r="J73" s="104" t="str">
        <f>'Units and Governance'!B5</f>
        <v>CAD</v>
      </c>
      <c r="K73" s="107" t="str">
        <f t="shared" si="6"/>
        <v/>
      </c>
      <c r="L73" s="32"/>
      <c r="M73" s="213" t="s">
        <v>271</v>
      </c>
    </row>
    <row r="74" spans="1:13" ht="20.149999999999999" customHeight="1" x14ac:dyDescent="0.35">
      <c r="A74" s="213" t="s">
        <v>272</v>
      </c>
      <c r="B74" s="214">
        <v>0</v>
      </c>
      <c r="C74" s="104" t="str">
        <f>'Units and Governance'!B5</f>
        <v>CAD</v>
      </c>
      <c r="D74" s="107" t="str">
        <f t="shared" si="5"/>
        <v/>
      </c>
      <c r="E74" s="32"/>
      <c r="F74" s="213" t="s">
        <v>273</v>
      </c>
      <c r="G74" s="126"/>
      <c r="H74" s="213" t="s">
        <v>272</v>
      </c>
      <c r="I74" s="214">
        <v>0</v>
      </c>
      <c r="J74" s="104" t="str">
        <f>'Units and Governance'!B5</f>
        <v>CAD</v>
      </c>
      <c r="K74" s="107" t="str">
        <f t="shared" si="6"/>
        <v/>
      </c>
      <c r="L74" s="32"/>
      <c r="M74" s="213" t="s">
        <v>273</v>
      </c>
    </row>
    <row r="75" spans="1:13" ht="20.149999999999999" customHeight="1" x14ac:dyDescent="0.35">
      <c r="A75" s="213" t="s">
        <v>248</v>
      </c>
      <c r="B75" s="214">
        <v>0</v>
      </c>
      <c r="C75" s="104" t="str">
        <f>'Units and Governance'!B5</f>
        <v>CAD</v>
      </c>
      <c r="D75" s="107" t="str">
        <f t="shared" si="5"/>
        <v/>
      </c>
      <c r="E75" s="32"/>
      <c r="F75" s="213" t="s">
        <v>249</v>
      </c>
      <c r="G75" s="126"/>
      <c r="H75" s="213" t="s">
        <v>248</v>
      </c>
      <c r="I75" s="214">
        <v>0</v>
      </c>
      <c r="J75" s="104" t="str">
        <f>'Units and Governance'!B5</f>
        <v>CAD</v>
      </c>
      <c r="K75" s="107" t="str">
        <f t="shared" si="6"/>
        <v/>
      </c>
      <c r="L75" s="32"/>
      <c r="M75" s="213" t="s">
        <v>249</v>
      </c>
    </row>
    <row r="76" spans="1:13" ht="20.149999999999999" customHeight="1" x14ac:dyDescent="0.35">
      <c r="A76" s="213" t="s">
        <v>250</v>
      </c>
      <c r="B76" s="214">
        <v>0</v>
      </c>
      <c r="C76" s="104" t="str">
        <f>'Units and Governance'!B5</f>
        <v>CAD</v>
      </c>
      <c r="D76" s="107" t="str">
        <f t="shared" si="5"/>
        <v/>
      </c>
      <c r="E76" s="32"/>
      <c r="F76" s="213" t="s">
        <v>249</v>
      </c>
      <c r="G76" s="126"/>
      <c r="H76" s="213" t="s">
        <v>250</v>
      </c>
      <c r="I76" s="214">
        <v>0</v>
      </c>
      <c r="J76" s="104" t="str">
        <f>'Units and Governance'!B5</f>
        <v>CAD</v>
      </c>
      <c r="K76" s="107" t="str">
        <f t="shared" si="6"/>
        <v/>
      </c>
      <c r="L76" s="32"/>
      <c r="M76" s="213" t="s">
        <v>249</v>
      </c>
    </row>
    <row r="77" spans="1:13" ht="20.149999999999999" customHeight="1" x14ac:dyDescent="0.35">
      <c r="A77" s="122" t="s">
        <v>274</v>
      </c>
      <c r="B77" s="123">
        <f>SUM(B71:B76)</f>
        <v>0</v>
      </c>
      <c r="C77" s="122" t="str">
        <f>'Units and Governance'!B5</f>
        <v>CAD</v>
      </c>
      <c r="D77" s="125">
        <v>1</v>
      </c>
      <c r="E77" s="125"/>
      <c r="F77" s="122"/>
      <c r="G77" s="126"/>
      <c r="H77" s="122" t="s">
        <v>274</v>
      </c>
      <c r="I77" s="123">
        <f>SUM(I71:I76)</f>
        <v>0</v>
      </c>
      <c r="J77" s="122" t="str">
        <f>'Units and Governance'!B5</f>
        <v>CAD</v>
      </c>
      <c r="K77" s="125">
        <v>1</v>
      </c>
      <c r="L77" s="125"/>
      <c r="M77" s="122"/>
    </row>
    <row r="78" spans="1:13" ht="20.149999999999999" customHeight="1" x14ac:dyDescent="0.35">
      <c r="G78" s="126"/>
    </row>
    <row r="79" spans="1:13" ht="20.149999999999999" customHeight="1" x14ac:dyDescent="0.35">
      <c r="A79" s="259" t="s">
        <v>253</v>
      </c>
      <c r="B79" s="259"/>
      <c r="C79" s="259"/>
      <c r="D79" s="259"/>
      <c r="E79" s="259"/>
      <c r="F79" s="259"/>
      <c r="G79" s="126"/>
      <c r="H79" s="259" t="s">
        <v>253</v>
      </c>
      <c r="I79" s="259"/>
      <c r="J79" s="259"/>
      <c r="K79" s="259"/>
      <c r="L79" s="259"/>
      <c r="M79" s="259"/>
    </row>
    <row r="80" spans="1:13" ht="20.149999999999999" customHeight="1" x14ac:dyDescent="0.35">
      <c r="A80" s="15" t="s">
        <v>254</v>
      </c>
      <c r="B80" s="15" t="s">
        <v>214</v>
      </c>
      <c r="C80" s="15" t="s">
        <v>215</v>
      </c>
      <c r="D80" s="15"/>
      <c r="E80" s="15"/>
      <c r="F80" s="74" t="s">
        <v>255</v>
      </c>
      <c r="G80" s="126"/>
      <c r="H80" s="15" t="s">
        <v>254</v>
      </c>
      <c r="I80" s="15" t="s">
        <v>214</v>
      </c>
      <c r="J80" s="15" t="s">
        <v>215</v>
      </c>
      <c r="K80" s="15"/>
      <c r="L80" s="15"/>
      <c r="M80" s="74" t="s">
        <v>255</v>
      </c>
    </row>
    <row r="81" spans="1:13" ht="20.149999999999999" customHeight="1" x14ac:dyDescent="0.35">
      <c r="A81" s="9" t="s">
        <v>256</v>
      </c>
      <c r="B81" s="100" t="str">
        <f>IF(OR(B50="",B47="",B47=0),"",B50/B47)</f>
        <v/>
      </c>
      <c r="C81" s="103" t="s">
        <v>257</v>
      </c>
      <c r="F81" s="9" t="s">
        <v>258</v>
      </c>
      <c r="G81" s="126"/>
      <c r="H81" s="9" t="s">
        <v>256</v>
      </c>
      <c r="I81" s="100" t="str">
        <f>IF(OR(I50="",I47="",I47=0),"",I50/I47)</f>
        <v/>
      </c>
      <c r="J81" s="103" t="s">
        <v>257</v>
      </c>
      <c r="M81" s="9" t="s">
        <v>258</v>
      </c>
    </row>
    <row r="82" spans="1:13" ht="20.149999999999999" customHeight="1" x14ac:dyDescent="0.35">
      <c r="A82" s="9" t="s">
        <v>275</v>
      </c>
      <c r="B82" s="100" t="str">
        <f>IF(OR(B77=0,B47="",B47=0),"",B77/B47)</f>
        <v/>
      </c>
      <c r="C82" s="103" t="str">
        <f>CONCATENATE('Units and Governance'!B5,"/person")</f>
        <v>CAD/person</v>
      </c>
      <c r="F82" s="9" t="s">
        <v>260</v>
      </c>
      <c r="G82" s="126"/>
      <c r="H82" s="9" t="s">
        <v>275</v>
      </c>
      <c r="I82" s="100" t="str">
        <f>IF(OR(I77=0,I47="",I47=0),"",I77/I47)</f>
        <v/>
      </c>
      <c r="J82" s="103" t="str">
        <f>CONCATENATE('Units and Governance'!B5,"/person")</f>
        <v>CAD/person</v>
      </c>
      <c r="M82" s="9" t="s">
        <v>260</v>
      </c>
    </row>
    <row r="83" spans="1:13" ht="20.149999999999999" customHeight="1" x14ac:dyDescent="0.35">
      <c r="A83" s="9" t="s">
        <v>261</v>
      </c>
      <c r="B83" s="100" t="str">
        <f>IF(OR(B51="",B47="",B47=0),"",B51/B47)</f>
        <v/>
      </c>
      <c r="C83" s="103" t="str">
        <f>CONCATENATE('Units and Governance'!B5,"/person")</f>
        <v>CAD/person</v>
      </c>
      <c r="F83" s="9" t="s">
        <v>262</v>
      </c>
      <c r="G83" s="126"/>
      <c r="H83" s="9" t="s">
        <v>261</v>
      </c>
      <c r="I83" s="100" t="str">
        <f>IF(OR(I51="",I47="",I47=0),"",I51/I47)</f>
        <v/>
      </c>
      <c r="J83" s="103" t="str">
        <f>CONCATENATE('Units and Governance'!B5,"/person")</f>
        <v>CAD/person</v>
      </c>
      <c r="M83" s="9" t="s">
        <v>262</v>
      </c>
    </row>
    <row r="84" spans="1:13" ht="20.149999999999999" customHeight="1" x14ac:dyDescent="0.35"/>
    <row r="85" spans="1:13" ht="20.149999999999999" customHeight="1" x14ac:dyDescent="0.35">
      <c r="A85" s="166" t="s">
        <v>207</v>
      </c>
    </row>
    <row r="86" spans="1:13" x14ac:dyDescent="0.35">
      <c r="A86" s="16" t="s">
        <v>111</v>
      </c>
      <c r="B86" t="s">
        <v>276</v>
      </c>
    </row>
    <row r="87" spans="1:13" x14ac:dyDescent="0.35">
      <c r="A87" s="104" t="s">
        <v>114</v>
      </c>
      <c r="B87" t="s">
        <v>209</v>
      </c>
    </row>
    <row r="88" spans="1:13" x14ac:dyDescent="0.35">
      <c r="A88" s="9" t="s">
        <v>117</v>
      </c>
      <c r="B88" t="s">
        <v>277</v>
      </c>
    </row>
    <row r="90" spans="1:13" ht="16" x14ac:dyDescent="0.4">
      <c r="A90" s="172" t="s">
        <v>278</v>
      </c>
      <c r="B90" s="173"/>
      <c r="C90" s="173"/>
      <c r="D90" s="173"/>
      <c r="E90" s="173"/>
      <c r="F90" s="173"/>
      <c r="G90" s="95"/>
      <c r="H90" s="173"/>
      <c r="I90" s="173"/>
      <c r="J90" s="173"/>
      <c r="K90" s="173"/>
      <c r="L90" s="173"/>
      <c r="M90" s="173"/>
    </row>
    <row r="91" spans="1:13" s="182" customFormat="1" x14ac:dyDescent="0.35">
      <c r="A91" s="204" t="str">
        <f>"SUP Weight: Garbage vs Recycling - Year "&amp;'Units and Governance'!B14&amp;" (kg)"</f>
        <v>SUP Weight: Garbage vs Recycling - Year 2010 (kg)</v>
      </c>
      <c r="B91" s="204"/>
      <c r="H91" s="204" t="str">
        <f>"SUP Cost: Garbage vs Recycling - Year "&amp;'Units and Governance'!B14&amp;" ("&amp;'Units and Governance'!B5&amp;")"</f>
        <v>SUP Cost: Garbage vs Recycling - Year 2010 (CAD)</v>
      </c>
      <c r="I91" s="204"/>
    </row>
    <row r="111" spans="1:9" s="182" customFormat="1" x14ac:dyDescent="0.35">
      <c r="A111" s="204" t="str">
        <f>"SUP Weight: Garbage vs Recycling - Year "&amp;'Units and Governance'!B15&amp;" (kg)"</f>
        <v>SUP Weight: Garbage vs Recycling - Year 2026 (kg)</v>
      </c>
      <c r="B111" s="204"/>
      <c r="H111" s="204" t="str">
        <f>"SUP Cost: Garbage vs Recycling - Year "&amp;'Units and Governance'!B15&amp;" ("&amp;'Units and Governance'!B5&amp;")"</f>
        <v>SUP Cost: Garbage vs Recycling - Year 2026 (CAD)</v>
      </c>
      <c r="I111" s="204"/>
    </row>
  </sheetData>
  <sheetProtection sheet="1" objects="1" scenarios="1"/>
  <mergeCells count="23">
    <mergeCell ref="A69:F69"/>
    <mergeCell ref="H69:M69"/>
    <mergeCell ref="A79:F79"/>
    <mergeCell ref="H79:M79"/>
    <mergeCell ref="H38:M38"/>
    <mergeCell ref="A45:F45"/>
    <mergeCell ref="H45:M45"/>
    <mergeCell ref="A54:F54"/>
    <mergeCell ref="H54:M54"/>
    <mergeCell ref="A44:F44"/>
    <mergeCell ref="H44:M44"/>
    <mergeCell ref="A1:F1"/>
    <mergeCell ref="H1:M1"/>
    <mergeCell ref="A28:F28"/>
    <mergeCell ref="H28:M28"/>
    <mergeCell ref="A38:F38"/>
    <mergeCell ref="A2:F2"/>
    <mergeCell ref="H3:M3"/>
    <mergeCell ref="A3:F3"/>
    <mergeCell ref="A4:F4"/>
    <mergeCell ref="H4:M4"/>
    <mergeCell ref="A13:F13"/>
    <mergeCell ref="H13:M1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E7906-BDBB-416D-BEEC-822B8EC889BB}">
  <sheetPr>
    <tabColor rgb="FFD8E8FC"/>
  </sheetPr>
  <dimension ref="A1:S111"/>
  <sheetViews>
    <sheetView showGridLines="0" zoomScale="60" zoomScaleNormal="115" workbookViewId="0">
      <pane ySplit="1" topLeftCell="A2" activePane="bottomLeft" state="frozen"/>
      <selection pane="bottomLeft" activeCell="D25" sqref="D25"/>
    </sheetView>
  </sheetViews>
  <sheetFormatPr defaultRowHeight="14.5" x14ac:dyDescent="0.35"/>
  <cols>
    <col min="1" max="1" width="40" customWidth="1"/>
    <col min="2" max="2" width="14.54296875" customWidth="1"/>
    <col min="3" max="3" width="10.90625" customWidth="1"/>
    <col min="4" max="4" width="12.6328125" customWidth="1"/>
    <col min="5" max="5" width="14.54296875" customWidth="1"/>
    <col min="6" max="6" width="32.6328125" customWidth="1"/>
    <col min="7" max="7" width="2.6328125" customWidth="1"/>
    <col min="8" max="8" width="40" customWidth="1"/>
    <col min="9" max="9" width="14.54296875" customWidth="1"/>
    <col min="10" max="10" width="10.90625" customWidth="1"/>
    <col min="11" max="11" width="12.6328125" customWidth="1"/>
    <col min="12" max="12" width="14.54296875" customWidth="1"/>
    <col min="13" max="13" width="36.6328125" customWidth="1"/>
    <col min="14" max="14" width="10.90625" customWidth="1"/>
    <col min="15" max="15" width="12.6328125" customWidth="1"/>
    <col min="16" max="17" width="14.54296875" customWidth="1"/>
    <col min="18" max="18" width="9.08984375" customWidth="1"/>
  </cols>
  <sheetData>
    <row r="1" spans="1:18" ht="27.9" customHeight="1" x14ac:dyDescent="0.45">
      <c r="A1" s="258" t="s">
        <v>279</v>
      </c>
      <c r="B1" s="248"/>
      <c r="C1" s="248"/>
      <c r="D1" s="248"/>
      <c r="E1" s="248"/>
      <c r="F1" s="248"/>
      <c r="G1" s="134"/>
      <c r="H1" s="266" t="s">
        <v>280</v>
      </c>
      <c r="I1" s="267"/>
      <c r="J1" s="267"/>
      <c r="K1" s="267"/>
      <c r="L1" s="267"/>
      <c r="M1" s="267"/>
    </row>
    <row r="2" spans="1:18" s="97" customFormat="1" ht="18.75" customHeight="1" x14ac:dyDescent="0.35">
      <c r="A2" s="269" t="s">
        <v>281</v>
      </c>
      <c r="B2" s="270"/>
      <c r="C2" s="270"/>
      <c r="D2" s="270"/>
      <c r="E2" s="270"/>
      <c r="F2" s="270"/>
      <c r="G2" s="151"/>
      <c r="H2" s="152"/>
      <c r="I2" s="151"/>
      <c r="J2" s="151"/>
      <c r="K2" s="151"/>
      <c r="L2" s="151"/>
      <c r="M2" s="151"/>
      <c r="O2" s="151"/>
      <c r="P2"/>
    </row>
    <row r="3" spans="1:18" s="94" customFormat="1" ht="24" customHeight="1" x14ac:dyDescent="0.4">
      <c r="A3" s="268" t="s">
        <v>212</v>
      </c>
      <c r="B3" s="268"/>
      <c r="C3" s="268"/>
      <c r="D3" s="268"/>
      <c r="E3" s="268"/>
      <c r="F3" s="268"/>
      <c r="G3" s="136"/>
      <c r="H3" s="268" t="s">
        <v>212</v>
      </c>
      <c r="I3" s="268"/>
      <c r="J3" s="268"/>
      <c r="K3" s="268"/>
      <c r="L3" s="268"/>
      <c r="M3" s="268"/>
      <c r="N3" s="93"/>
      <c r="O3" s="93"/>
      <c r="P3" s="93"/>
      <c r="Q3" s="93"/>
      <c r="R3" s="93"/>
    </row>
    <row r="4" spans="1:18" x14ac:dyDescent="0.35">
      <c r="A4" s="264" t="s">
        <v>213</v>
      </c>
      <c r="B4" s="264"/>
      <c r="C4" s="264"/>
      <c r="D4" s="264"/>
      <c r="E4" s="264"/>
      <c r="F4" s="264"/>
      <c r="G4" s="137"/>
      <c r="H4" s="264" t="s">
        <v>213</v>
      </c>
      <c r="I4" s="264"/>
      <c r="J4" s="264"/>
      <c r="K4" s="264"/>
      <c r="L4" s="264"/>
      <c r="M4" s="264"/>
    </row>
    <row r="5" spans="1:18" ht="20.149999999999999" customHeight="1" x14ac:dyDescent="0.35">
      <c r="A5" s="128" t="s">
        <v>92</v>
      </c>
      <c r="B5" s="128" t="s">
        <v>214</v>
      </c>
      <c r="C5" s="128" t="s">
        <v>215</v>
      </c>
      <c r="D5" s="128" t="s">
        <v>216</v>
      </c>
      <c r="E5" s="128"/>
      <c r="F5" s="159" t="s">
        <v>217</v>
      </c>
      <c r="G5" s="135"/>
      <c r="H5" s="128" t="s">
        <v>92</v>
      </c>
      <c r="I5" s="128" t="s">
        <v>214</v>
      </c>
      <c r="J5" s="128" t="s">
        <v>215</v>
      </c>
      <c r="K5" s="128" t="s">
        <v>216</v>
      </c>
      <c r="L5" s="128"/>
      <c r="M5" s="159" t="s">
        <v>217</v>
      </c>
    </row>
    <row r="6" spans="1:18" ht="29" x14ac:dyDescent="0.35">
      <c r="A6" s="174" t="s">
        <v>282</v>
      </c>
      <c r="B6" s="55"/>
      <c r="C6" s="174" t="s">
        <v>146</v>
      </c>
      <c r="D6" s="34"/>
      <c r="E6" s="34"/>
      <c r="F6" s="174" t="s">
        <v>219</v>
      </c>
      <c r="G6" s="138"/>
      <c r="H6" s="174" t="s">
        <v>282</v>
      </c>
      <c r="I6" s="55"/>
      <c r="J6" s="10" t="s">
        <v>146</v>
      </c>
      <c r="K6" s="34"/>
      <c r="L6" s="34"/>
      <c r="M6" s="174" t="s">
        <v>219</v>
      </c>
    </row>
    <row r="7" spans="1:18" ht="20.149999999999999" customHeight="1" x14ac:dyDescent="0.35">
      <c r="A7" s="174" t="s">
        <v>283</v>
      </c>
      <c r="B7" s="50"/>
      <c r="C7" s="230" t="str">
        <f>'Units and Governance'!C38</f>
        <v>kg</v>
      </c>
      <c r="D7" s="239" t="str">
        <f>IF(B7="","",B7*'Units and Governance'!D38)</f>
        <v/>
      </c>
      <c r="E7" s="35"/>
      <c r="F7" s="10" t="s">
        <v>221</v>
      </c>
      <c r="G7" s="137"/>
      <c r="H7" s="174" t="s">
        <v>283</v>
      </c>
      <c r="I7" s="50"/>
      <c r="J7" s="230" t="str">
        <f>'Units and Governance'!C38</f>
        <v>kg</v>
      </c>
      <c r="K7" s="239" t="str">
        <f>IF(I7="","",I7*'Units and Governance'!D38)</f>
        <v/>
      </c>
      <c r="L7" s="37"/>
      <c r="M7" s="10" t="s">
        <v>221</v>
      </c>
    </row>
    <row r="8" spans="1:18" ht="20.149999999999999" customHeight="1" x14ac:dyDescent="0.35">
      <c r="A8" s="174" t="s">
        <v>222</v>
      </c>
      <c r="B8" s="51">
        <v>15</v>
      </c>
      <c r="C8" s="10" t="s">
        <v>223</v>
      </c>
      <c r="D8" s="37"/>
      <c r="E8" s="37"/>
      <c r="F8" s="11" t="s">
        <v>224</v>
      </c>
      <c r="G8" s="139"/>
      <c r="H8" s="174" t="s">
        <v>222</v>
      </c>
      <c r="I8" s="51">
        <v>15</v>
      </c>
      <c r="J8" s="10" t="s">
        <v>223</v>
      </c>
      <c r="K8" s="37"/>
      <c r="L8" s="37"/>
      <c r="M8" s="10" t="s">
        <v>224</v>
      </c>
    </row>
    <row r="9" spans="1:18" ht="20.149999999999999" customHeight="1" x14ac:dyDescent="0.35">
      <c r="A9" s="174" t="s">
        <v>225</v>
      </c>
      <c r="B9" s="227" t="str">
        <f>IF(OR(D7="",B8=""),"",D7*B8/100)</f>
        <v/>
      </c>
      <c r="C9" s="108" t="s">
        <v>178</v>
      </c>
      <c r="D9" s="227"/>
      <c r="E9" s="228"/>
      <c r="F9" s="11" t="s">
        <v>226</v>
      </c>
      <c r="G9" s="139"/>
      <c r="H9" s="174" t="s">
        <v>225</v>
      </c>
      <c r="I9" s="227" t="str">
        <f>IF(OR(K7="",I8=""),"",K7*I8/100)</f>
        <v/>
      </c>
      <c r="J9" s="108" t="s">
        <v>178</v>
      </c>
      <c r="K9" s="236"/>
      <c r="L9" s="237"/>
      <c r="M9" s="10" t="s">
        <v>226</v>
      </c>
    </row>
    <row r="10" spans="1:18" ht="20.149999999999999" customHeight="1" x14ac:dyDescent="0.35">
      <c r="A10" s="10" t="s">
        <v>227</v>
      </c>
      <c r="B10" s="238">
        <f>IF(B35&gt;0, B35*(B8/100), 0)</f>
        <v>0</v>
      </c>
      <c r="C10" s="108" t="str">
        <f>'Units and Governance'!B5</f>
        <v>CAD</v>
      </c>
      <c r="D10" s="228"/>
      <c r="E10" s="228"/>
      <c r="F10" s="10" t="s">
        <v>228</v>
      </c>
      <c r="G10" s="137"/>
      <c r="H10" s="174" t="s">
        <v>227</v>
      </c>
      <c r="I10" s="238">
        <f>IF(I35&gt;0, I35*(I8/100), 0)</f>
        <v>0</v>
      </c>
      <c r="J10" s="108" t="str">
        <f>'Units and Governance'!B5</f>
        <v>CAD</v>
      </c>
      <c r="K10" s="228"/>
      <c r="L10" s="228"/>
      <c r="M10" s="10" t="s">
        <v>228</v>
      </c>
    </row>
    <row r="11" spans="1:18" ht="20.149999999999999" customHeight="1" x14ac:dyDescent="0.35">
      <c r="A11" s="34"/>
      <c r="B11" s="36"/>
      <c r="C11" s="36"/>
      <c r="D11" s="36"/>
      <c r="E11" s="36"/>
      <c r="F11" s="33"/>
      <c r="G11" s="137"/>
      <c r="H11" s="36"/>
      <c r="I11" s="36"/>
      <c r="J11" s="33"/>
      <c r="K11" s="34"/>
      <c r="L11" s="34"/>
      <c r="M11" s="36"/>
    </row>
    <row r="12" spans="1:18" ht="20.149999999999999" customHeight="1" x14ac:dyDescent="0.35">
      <c r="A12" s="264" t="s">
        <v>229</v>
      </c>
      <c r="B12" s="264"/>
      <c r="C12" s="264"/>
      <c r="D12" s="264"/>
      <c r="E12" s="264"/>
      <c r="F12" s="264"/>
      <c r="G12" s="139"/>
      <c r="H12" s="265" t="s">
        <v>229</v>
      </c>
      <c r="I12" s="265"/>
      <c r="J12" s="265"/>
      <c r="K12" s="265"/>
      <c r="L12" s="265"/>
      <c r="M12" s="265"/>
    </row>
    <row r="13" spans="1:18" ht="20.149999999999999" customHeight="1" x14ac:dyDescent="0.35">
      <c r="A13" s="128" t="s">
        <v>230</v>
      </c>
      <c r="B13" s="129" t="s">
        <v>231</v>
      </c>
      <c r="C13" s="128" t="s">
        <v>215</v>
      </c>
      <c r="D13" s="128" t="s">
        <v>216</v>
      </c>
      <c r="E13" s="128" t="str">
        <f>"Cost ("&amp;'Units and Governance'!B5&amp;")"</f>
        <v>Cost (CAD)</v>
      </c>
      <c r="F13" s="156" t="s">
        <v>232</v>
      </c>
      <c r="G13" s="140"/>
      <c r="H13" s="128" t="s">
        <v>230</v>
      </c>
      <c r="I13" s="130" t="s">
        <v>231</v>
      </c>
      <c r="J13" s="128" t="s">
        <v>215</v>
      </c>
      <c r="K13" s="128" t="s">
        <v>216</v>
      </c>
      <c r="L13" s="128" t="str">
        <f>"Cost ("&amp;'Units and Governance'!B5&amp;")"</f>
        <v>Cost (CAD)</v>
      </c>
      <c r="M13" s="156" t="s">
        <v>232</v>
      </c>
    </row>
    <row r="14" spans="1:18" ht="20.149999999999999" customHeight="1" x14ac:dyDescent="0.35">
      <c r="A14" s="223" t="str">
        <f>'Units and Governance'!B19</f>
        <v>Lined hot cups</v>
      </c>
      <c r="B14" s="189"/>
      <c r="C14" s="108" t="str">
        <f>'Units and Governance'!C38</f>
        <v>kg</v>
      </c>
      <c r="D14" s="225" t="str">
        <f>IF(B14="","",B14*'Units and Governance'!D38)</f>
        <v/>
      </c>
      <c r="E14" s="225">
        <f t="shared" ref="E14:E24" si="0">IF($B$35=0,0,IF(AND($D$7&lt;&gt;"", $D$7&gt;0),(D14/$D$7)*$B$35,IF($D$25&gt;0,(D14/$D$25)*$B$35,0)))</f>
        <v>0</v>
      </c>
      <c r="F14" s="54"/>
      <c r="G14" s="137"/>
      <c r="H14" s="220" t="str">
        <f>'Units and Governance'!B19</f>
        <v>Lined hot cups</v>
      </c>
      <c r="I14" s="189"/>
      <c r="J14" s="108" t="str">
        <f>'Units and Governance'!C38</f>
        <v>kg</v>
      </c>
      <c r="K14" s="225" t="str">
        <f>IF(I14="","",I14*'Units and Governance'!D38)</f>
        <v/>
      </c>
      <c r="L14" s="225">
        <f t="shared" ref="L14:L24" si="1">IF($I$35=0,0,IF(AND($K$7&lt;&gt;"", $K$7&gt;0),(K14/$K$7)*$I$35,IF($K$25&gt;0,(K14/$K$25)*$I$35,0)))</f>
        <v>0</v>
      </c>
      <c r="M14" s="54"/>
    </row>
    <row r="15" spans="1:18" ht="20.149999999999999" customHeight="1" x14ac:dyDescent="0.35">
      <c r="A15" s="223" t="str">
        <f>'Units and Governance'!B20</f>
        <v>Plastic cold cups</v>
      </c>
      <c r="B15" s="189"/>
      <c r="C15" s="108" t="str">
        <f>'Units and Governance'!C38</f>
        <v>kg</v>
      </c>
      <c r="D15" s="225" t="str">
        <f>IF(B15="","",B15*'Units and Governance'!D38)</f>
        <v/>
      </c>
      <c r="E15" s="225">
        <f t="shared" si="0"/>
        <v>0</v>
      </c>
      <c r="F15" s="216"/>
      <c r="G15" s="139"/>
      <c r="H15" s="220" t="str">
        <f>'Units and Governance'!B20</f>
        <v>Plastic cold cups</v>
      </c>
      <c r="I15" s="189"/>
      <c r="J15" s="108" t="str">
        <f>'Units and Governance'!C38</f>
        <v>kg</v>
      </c>
      <c r="K15" s="225" t="str">
        <f>IF(I15="","",I15*'Units and Governance'!D38)</f>
        <v/>
      </c>
      <c r="L15" s="225">
        <f t="shared" si="1"/>
        <v>0</v>
      </c>
      <c r="M15" s="54"/>
    </row>
    <row r="16" spans="1:18" ht="20.149999999999999" customHeight="1" x14ac:dyDescent="0.35">
      <c r="A16" s="223" t="str">
        <f>'Units and Governance'!B21</f>
        <v>Cup lids</v>
      </c>
      <c r="B16" s="189"/>
      <c r="C16" s="108" t="str">
        <f>'Units and Governance'!C38</f>
        <v>kg</v>
      </c>
      <c r="D16" s="225" t="str">
        <f>IF(B16="","",B16*'Units and Governance'!D38)</f>
        <v/>
      </c>
      <c r="E16" s="225">
        <f t="shared" si="0"/>
        <v>0</v>
      </c>
      <c r="F16" s="216"/>
      <c r="G16" s="139"/>
      <c r="H16" s="220" t="str">
        <f>'Units and Governance'!B21</f>
        <v>Cup lids</v>
      </c>
      <c r="I16" s="189"/>
      <c r="J16" s="108" t="str">
        <f>'Units and Governance'!C38</f>
        <v>kg</v>
      </c>
      <c r="K16" s="225" t="str">
        <f>IF(I16="","",I16*'Units and Governance'!D38)</f>
        <v/>
      </c>
      <c r="L16" s="225">
        <f t="shared" si="1"/>
        <v>0</v>
      </c>
      <c r="M16" s="54"/>
    </row>
    <row r="17" spans="1:13" ht="20.149999999999999" customHeight="1" x14ac:dyDescent="0.35">
      <c r="A17" s="223" t="str">
        <f>'Units and Governance'!B22</f>
        <v>Vaping devices</v>
      </c>
      <c r="B17" s="189"/>
      <c r="C17" s="108" t="str">
        <f>'Units and Governance'!C38</f>
        <v>kg</v>
      </c>
      <c r="D17" s="225" t="str">
        <f>IF(B17="","",B17*'Units and Governance'!D38)</f>
        <v/>
      </c>
      <c r="E17" s="225">
        <f t="shared" si="0"/>
        <v>0</v>
      </c>
      <c r="F17" s="216"/>
      <c r="G17" s="139"/>
      <c r="H17" s="220" t="str">
        <f>'Units and Governance'!B22</f>
        <v>Vaping devices</v>
      </c>
      <c r="I17" s="189"/>
      <c r="J17" s="108" t="str">
        <f>'Units and Governance'!C38</f>
        <v>kg</v>
      </c>
      <c r="K17" s="225" t="str">
        <f>IF(I17="","",I17*'Units and Governance'!D38)</f>
        <v/>
      </c>
      <c r="L17" s="225">
        <f t="shared" si="1"/>
        <v>0</v>
      </c>
      <c r="M17" s="54"/>
    </row>
    <row r="18" spans="1:13" ht="20.149999999999999" customHeight="1" x14ac:dyDescent="0.35">
      <c r="A18" s="223" t="str">
        <f>'Units and Governance'!B23</f>
        <v>Bottle caps</v>
      </c>
      <c r="B18" s="189"/>
      <c r="C18" s="108" t="str">
        <f>'Units and Governance'!C38</f>
        <v>kg</v>
      </c>
      <c r="D18" s="225" t="str">
        <f>IF(B18="","",B18*'Units and Governance'!D38)</f>
        <v/>
      </c>
      <c r="E18" s="225">
        <f t="shared" si="0"/>
        <v>0</v>
      </c>
      <c r="F18" s="217"/>
      <c r="G18" s="139"/>
      <c r="H18" s="220" t="str">
        <f>'Units and Governance'!B23</f>
        <v>Bottle caps</v>
      </c>
      <c r="I18" s="189"/>
      <c r="J18" s="108" t="str">
        <f>'Units and Governance'!C38</f>
        <v>kg</v>
      </c>
      <c r="K18" s="225" t="str">
        <f>IF(I18="","",I18*'Units and Governance'!D38)</f>
        <v/>
      </c>
      <c r="L18" s="225">
        <f t="shared" si="1"/>
        <v>0</v>
      </c>
      <c r="M18" s="54"/>
    </row>
    <row r="19" spans="1:13" ht="20.149999999999999" customHeight="1" x14ac:dyDescent="0.35">
      <c r="A19" s="223" t="str">
        <f>'Units and Governance'!B24</f>
        <v>Plastic bottles</v>
      </c>
      <c r="B19" s="189"/>
      <c r="C19" s="108" t="str">
        <f>'Units and Governance'!C38</f>
        <v>kg</v>
      </c>
      <c r="D19" s="225" t="str">
        <f>IF(B19="","",B19*'Units and Governance'!D38)</f>
        <v/>
      </c>
      <c r="E19" s="225">
        <f t="shared" si="0"/>
        <v>0</v>
      </c>
      <c r="F19" s="216"/>
      <c r="G19" s="139"/>
      <c r="H19" s="220" t="str">
        <f>'Units and Governance'!B24</f>
        <v>Plastic bottles</v>
      </c>
      <c r="I19" s="189"/>
      <c r="J19" s="108" t="str">
        <f>'Units and Governance'!C38</f>
        <v>kg</v>
      </c>
      <c r="K19" s="225" t="str">
        <f>IF(I19="","",I19*'Units and Governance'!D38)</f>
        <v/>
      </c>
      <c r="L19" s="225">
        <f t="shared" si="1"/>
        <v>0</v>
      </c>
      <c r="M19" s="54"/>
    </row>
    <row r="20" spans="1:13" ht="20.149999999999999" customHeight="1" x14ac:dyDescent="0.35">
      <c r="A20" s="223" t="str">
        <f>'Units and Governance'!B25</f>
        <v>Foam trays</v>
      </c>
      <c r="B20" s="189"/>
      <c r="C20" s="108" t="str">
        <f>'Units and Governance'!C38</f>
        <v>kg</v>
      </c>
      <c r="D20" s="225" t="str">
        <f>IF(B20="","",B20*'Units and Governance'!D38)</f>
        <v/>
      </c>
      <c r="E20" s="225">
        <f t="shared" si="0"/>
        <v>0</v>
      </c>
      <c r="F20" s="216"/>
      <c r="G20" s="139"/>
      <c r="H20" s="220" t="str">
        <f>'Units and Governance'!B25</f>
        <v>Foam trays</v>
      </c>
      <c r="I20" s="189"/>
      <c r="J20" s="108" t="str">
        <f>'Units and Governance'!C38</f>
        <v>kg</v>
      </c>
      <c r="K20" s="225" t="str">
        <f>IF(I20="","",I20*'Units and Governance'!D38)</f>
        <v/>
      </c>
      <c r="L20" s="225">
        <f t="shared" si="1"/>
        <v>0</v>
      </c>
      <c r="M20" s="54"/>
    </row>
    <row r="21" spans="1:13" ht="20.149999999999999" customHeight="1" x14ac:dyDescent="0.35">
      <c r="A21" s="223" t="str">
        <f>'Units and Governance'!B26</f>
        <v>Tampon applicators</v>
      </c>
      <c r="B21" s="189"/>
      <c r="C21" s="108" t="str">
        <f>'Units and Governance'!C38</f>
        <v>kg</v>
      </c>
      <c r="D21" s="225" t="str">
        <f>IF(B21="","",B21*'Units and Governance'!D38)</f>
        <v/>
      </c>
      <c r="E21" s="225">
        <f t="shared" si="0"/>
        <v>0</v>
      </c>
      <c r="F21" s="216"/>
      <c r="G21" s="139"/>
      <c r="H21" s="220" t="str">
        <f>'Units and Governance'!B26</f>
        <v>Tampon applicators</v>
      </c>
      <c r="I21" s="189"/>
      <c r="J21" s="108" t="str">
        <f>'Units and Governance'!C38</f>
        <v>kg</v>
      </c>
      <c r="K21" s="225" t="str">
        <f>IF(I21="","",I21*'Units and Governance'!D38)</f>
        <v/>
      </c>
      <c r="L21" s="225">
        <f t="shared" si="1"/>
        <v>0</v>
      </c>
      <c r="M21" s="54"/>
    </row>
    <row r="22" spans="1:13" ht="20.149999999999999" customHeight="1" x14ac:dyDescent="0.35">
      <c r="A22" s="223" t="str">
        <f>'Units and Governance'!B27</f>
        <v>Other SUP 1</v>
      </c>
      <c r="B22" s="189"/>
      <c r="C22" s="108" t="str">
        <f>'Units and Governance'!C38</f>
        <v>kg</v>
      </c>
      <c r="D22" s="225" t="str">
        <f>IF(B22="","",B22*'Units and Governance'!D38)</f>
        <v/>
      </c>
      <c r="E22" s="225">
        <f t="shared" si="0"/>
        <v>0</v>
      </c>
      <c r="F22" s="216"/>
      <c r="G22" s="139"/>
      <c r="H22" s="220" t="str">
        <f>'Units and Governance'!B27</f>
        <v>Other SUP 1</v>
      </c>
      <c r="I22" s="189"/>
      <c r="J22" s="108" t="str">
        <f>'Units and Governance'!C38</f>
        <v>kg</v>
      </c>
      <c r="K22" s="225" t="str">
        <f>IF(I22="","",I22*'Units and Governance'!D38)</f>
        <v/>
      </c>
      <c r="L22" s="225">
        <f t="shared" si="1"/>
        <v>0</v>
      </c>
      <c r="M22" s="54"/>
    </row>
    <row r="23" spans="1:13" ht="20.149999999999999" customHeight="1" x14ac:dyDescent="0.35">
      <c r="A23" s="223" t="str">
        <f>'Units and Governance'!B28</f>
        <v>Other SUP 2</v>
      </c>
      <c r="B23" s="189"/>
      <c r="C23" s="108" t="str">
        <f>'Units and Governance'!C38</f>
        <v>kg</v>
      </c>
      <c r="D23" s="225" t="str">
        <f>IF(B23="","",B23*'Units and Governance'!D38)</f>
        <v/>
      </c>
      <c r="E23" s="225">
        <f t="shared" si="0"/>
        <v>0</v>
      </c>
      <c r="F23" s="216"/>
      <c r="G23" s="139"/>
      <c r="H23" s="220" t="str">
        <f>'Units and Governance'!B28</f>
        <v>Other SUP 2</v>
      </c>
      <c r="I23" s="189"/>
      <c r="J23" s="108" t="str">
        <f>'Units and Governance'!C38</f>
        <v>kg</v>
      </c>
      <c r="K23" s="225" t="str">
        <f>IF(I23="","",I23*'Units and Governance'!D38)</f>
        <v/>
      </c>
      <c r="L23" s="225">
        <f t="shared" si="1"/>
        <v>0</v>
      </c>
      <c r="M23" s="54"/>
    </row>
    <row r="24" spans="1:13" ht="20.149999999999999" customHeight="1" x14ac:dyDescent="0.35">
      <c r="A24" s="223" t="str">
        <f>'Units and Governance'!B29</f>
        <v>Other SUP 3</v>
      </c>
      <c r="B24" s="189"/>
      <c r="C24" s="108" t="str">
        <f>'Units and Governance'!C38</f>
        <v>kg</v>
      </c>
      <c r="D24" s="225" t="str">
        <f>IF(B24="","",B24*'Units and Governance'!D38)</f>
        <v/>
      </c>
      <c r="E24" s="225">
        <f t="shared" si="0"/>
        <v>0</v>
      </c>
      <c r="F24" s="216"/>
      <c r="G24" s="139"/>
      <c r="H24" s="220" t="str">
        <f>'Units and Governance'!B29</f>
        <v>Other SUP 3</v>
      </c>
      <c r="I24" s="189"/>
      <c r="J24" s="108" t="str">
        <f>'Units and Governance'!C38</f>
        <v>kg</v>
      </c>
      <c r="K24" s="225" t="str">
        <f>IF(I24="","",I24*'Units and Governance'!D38)</f>
        <v/>
      </c>
      <c r="L24" s="225">
        <f t="shared" si="1"/>
        <v>0</v>
      </c>
      <c r="M24" s="54"/>
    </row>
    <row r="25" spans="1:13" ht="31.5" customHeight="1" x14ac:dyDescent="0.35">
      <c r="A25" s="160" t="s">
        <v>233</v>
      </c>
      <c r="B25" s="193">
        <f>SUM(D14:D24)</f>
        <v>0</v>
      </c>
      <c r="C25" s="132" t="s">
        <v>178</v>
      </c>
      <c r="D25" s="194">
        <f>SUM(D14:D24)</f>
        <v>0</v>
      </c>
      <c r="E25" s="194">
        <f>IFERROR(IF(B7&gt;0,(D25/B7)*B35,0),0)</f>
        <v>0</v>
      </c>
      <c r="F25" s="161" t="s">
        <v>234</v>
      </c>
      <c r="G25" s="143"/>
      <c r="H25" s="132" t="s">
        <v>233</v>
      </c>
      <c r="I25" s="193">
        <f>SUM(K14:K24)</f>
        <v>0</v>
      </c>
      <c r="J25" s="132" t="s">
        <v>178</v>
      </c>
      <c r="K25" s="193">
        <f>SUM(K14:K24)</f>
        <v>0</v>
      </c>
      <c r="L25" s="193">
        <f>IFERROR(IF(I7&gt;0,(K25/I7)*I35,0),0)</f>
        <v>0</v>
      </c>
      <c r="M25" s="160" t="s">
        <v>234</v>
      </c>
    </row>
    <row r="26" spans="1:13" ht="20.149999999999999" customHeight="1" x14ac:dyDescent="0.35">
      <c r="A26" s="33"/>
      <c r="B26" s="36"/>
      <c r="C26" s="36"/>
      <c r="D26" s="36"/>
      <c r="E26" s="36"/>
      <c r="F26" s="33"/>
      <c r="G26" s="137"/>
      <c r="H26" s="36"/>
      <c r="I26" s="36"/>
      <c r="J26" s="33"/>
      <c r="K26" s="33"/>
      <c r="L26" s="33"/>
      <c r="M26" s="36"/>
    </row>
    <row r="27" spans="1:13" ht="20.149999999999999" customHeight="1" x14ac:dyDescent="0.35">
      <c r="A27" s="265" t="s">
        <v>235</v>
      </c>
      <c r="B27" s="265"/>
      <c r="C27" s="265"/>
      <c r="D27" s="265"/>
      <c r="E27" s="265"/>
      <c r="F27" s="265"/>
      <c r="G27" s="137"/>
      <c r="H27" s="265" t="s">
        <v>235</v>
      </c>
      <c r="I27" s="265"/>
      <c r="J27" s="265"/>
      <c r="K27" s="265"/>
      <c r="L27" s="265"/>
      <c r="M27" s="265"/>
    </row>
    <row r="28" spans="1:13" ht="20.149999999999999" customHeight="1" x14ac:dyDescent="0.35">
      <c r="A28" s="130" t="s">
        <v>236</v>
      </c>
      <c r="B28" s="130" t="s">
        <v>237</v>
      </c>
      <c r="C28" s="128" t="s">
        <v>238</v>
      </c>
      <c r="D28" s="130" t="s">
        <v>239</v>
      </c>
      <c r="E28" s="130"/>
      <c r="F28" s="158" t="s">
        <v>240</v>
      </c>
      <c r="G28" s="137"/>
      <c r="H28" s="130" t="s">
        <v>236</v>
      </c>
      <c r="I28" s="130" t="s">
        <v>237</v>
      </c>
      <c r="J28" s="128" t="s">
        <v>238</v>
      </c>
      <c r="K28" s="130" t="s">
        <v>239</v>
      </c>
      <c r="L28" s="130"/>
      <c r="M28" s="158" t="s">
        <v>240</v>
      </c>
    </row>
    <row r="29" spans="1:13" ht="20.149999999999999" customHeight="1" x14ac:dyDescent="0.35">
      <c r="A29" s="196" t="s">
        <v>241</v>
      </c>
      <c r="B29" s="187">
        <v>0</v>
      </c>
      <c r="C29" s="230" t="str">
        <f>'Units and Governance'!B5</f>
        <v>CAD</v>
      </c>
      <c r="D29" s="232" t="str">
        <f t="shared" ref="D29:D34" si="2">IF(OR(B29="",B$35=0),"",B29/B$35)</f>
        <v/>
      </c>
      <c r="E29" s="42"/>
      <c r="F29" s="54" t="s">
        <v>284</v>
      </c>
      <c r="G29" s="137"/>
      <c r="H29" s="54" t="s">
        <v>241</v>
      </c>
      <c r="I29" s="187">
        <v>0</v>
      </c>
      <c r="J29" s="230" t="str">
        <f>'Units and Governance'!B5</f>
        <v>CAD</v>
      </c>
      <c r="K29" s="232" t="str">
        <f t="shared" ref="K29:K34" si="3">IF(OR(I29="",I$35=0),"",I29/I$35)</f>
        <v/>
      </c>
      <c r="L29" s="40"/>
      <c r="M29" s="54" t="s">
        <v>284</v>
      </c>
    </row>
    <row r="30" spans="1:13" ht="20.149999999999999" customHeight="1" x14ac:dyDescent="0.35">
      <c r="A30" s="196" t="s">
        <v>244</v>
      </c>
      <c r="B30" s="187">
        <v>0</v>
      </c>
      <c r="C30" s="230" t="str">
        <f>'Units and Governance'!B5</f>
        <v>CAD</v>
      </c>
      <c r="D30" s="232" t="str">
        <f t="shared" si="2"/>
        <v/>
      </c>
      <c r="E30" s="42"/>
      <c r="F30" s="54" t="s">
        <v>245</v>
      </c>
      <c r="G30" s="137"/>
      <c r="H30" s="54" t="s">
        <v>244</v>
      </c>
      <c r="I30" s="187">
        <v>0</v>
      </c>
      <c r="J30" s="230" t="str">
        <f>'Units and Governance'!B5</f>
        <v>CAD</v>
      </c>
      <c r="K30" s="233" t="str">
        <f t="shared" si="3"/>
        <v/>
      </c>
      <c r="L30" s="41"/>
      <c r="M30" s="196" t="s">
        <v>245</v>
      </c>
    </row>
    <row r="31" spans="1:13" ht="20.149999999999999" customHeight="1" x14ac:dyDescent="0.35">
      <c r="A31" s="196" t="s">
        <v>246</v>
      </c>
      <c r="B31" s="187">
        <v>0</v>
      </c>
      <c r="C31" s="230" t="str">
        <f>'Units and Governance'!B5</f>
        <v>CAD</v>
      </c>
      <c r="D31" s="232" t="str">
        <f t="shared" si="2"/>
        <v/>
      </c>
      <c r="E31" s="42"/>
      <c r="F31" s="54" t="s">
        <v>247</v>
      </c>
      <c r="G31" s="137"/>
      <c r="H31" s="54" t="s">
        <v>246</v>
      </c>
      <c r="I31" s="187">
        <v>0</v>
      </c>
      <c r="J31" s="230" t="str">
        <f>'Units and Governance'!B5</f>
        <v>CAD</v>
      </c>
      <c r="K31" s="233" t="str">
        <f t="shared" si="3"/>
        <v/>
      </c>
      <c r="L31" s="41"/>
      <c r="M31" s="54" t="s">
        <v>247</v>
      </c>
    </row>
    <row r="32" spans="1:13" ht="20.149999999999999" customHeight="1" x14ac:dyDescent="0.35">
      <c r="A32" s="55" t="s">
        <v>248</v>
      </c>
      <c r="B32" s="187">
        <v>0</v>
      </c>
      <c r="C32" s="230" t="str">
        <f>'Units and Governance'!B5</f>
        <v>CAD</v>
      </c>
      <c r="D32" s="232" t="str">
        <f t="shared" si="2"/>
        <v/>
      </c>
      <c r="E32" s="42"/>
      <c r="F32" s="54" t="s">
        <v>249</v>
      </c>
      <c r="G32" s="137"/>
      <c r="H32" s="54" t="s">
        <v>248</v>
      </c>
      <c r="I32" s="187">
        <v>0</v>
      </c>
      <c r="J32" s="230" t="str">
        <f>'Units and Governance'!B5</f>
        <v>CAD</v>
      </c>
      <c r="K32" s="233" t="str">
        <f t="shared" si="3"/>
        <v/>
      </c>
      <c r="L32" s="41"/>
      <c r="M32" s="54" t="s">
        <v>249</v>
      </c>
    </row>
    <row r="33" spans="1:13" ht="20.149999999999999" customHeight="1" x14ac:dyDescent="0.35">
      <c r="A33" s="52" t="s">
        <v>250</v>
      </c>
      <c r="B33" s="188">
        <v>0</v>
      </c>
      <c r="C33" s="230" t="str">
        <f>'Units and Governance'!B5</f>
        <v>CAD</v>
      </c>
      <c r="D33" s="232" t="str">
        <f t="shared" si="2"/>
        <v/>
      </c>
      <c r="E33" s="42"/>
      <c r="F33" s="54" t="s">
        <v>249</v>
      </c>
      <c r="G33" s="137"/>
      <c r="H33" s="196" t="s">
        <v>250</v>
      </c>
      <c r="I33" s="187">
        <v>0</v>
      </c>
      <c r="J33" s="230" t="str">
        <f>'Units and Governance'!B5</f>
        <v>CAD</v>
      </c>
      <c r="K33" s="232" t="str">
        <f t="shared" si="3"/>
        <v/>
      </c>
      <c r="L33" s="42"/>
      <c r="M33" s="216" t="s">
        <v>249</v>
      </c>
    </row>
    <row r="34" spans="1:13" ht="20.149999999999999" customHeight="1" x14ac:dyDescent="0.35">
      <c r="A34" s="49" t="s">
        <v>251</v>
      </c>
      <c r="B34" s="188">
        <v>0</v>
      </c>
      <c r="C34" s="230" t="str">
        <f>'Units and Governance'!B5</f>
        <v>CAD</v>
      </c>
      <c r="D34" s="232" t="str">
        <f t="shared" si="2"/>
        <v/>
      </c>
      <c r="E34" s="42"/>
      <c r="F34" s="54" t="s">
        <v>249</v>
      </c>
      <c r="G34" s="137"/>
      <c r="H34" s="54" t="s">
        <v>251</v>
      </c>
      <c r="I34" s="187">
        <v>0</v>
      </c>
      <c r="J34" s="230" t="str">
        <f>'Units and Governance'!B5</f>
        <v>CAD</v>
      </c>
      <c r="K34" s="233" t="str">
        <f t="shared" si="3"/>
        <v/>
      </c>
      <c r="L34" s="43"/>
      <c r="M34" s="216" t="s">
        <v>249</v>
      </c>
    </row>
    <row r="35" spans="1:13" ht="20.149999999999999" customHeight="1" x14ac:dyDescent="0.35">
      <c r="A35" s="132" t="s">
        <v>252</v>
      </c>
      <c r="B35" s="194">
        <f>SUM(B29:B34)</f>
        <v>0</v>
      </c>
      <c r="C35" s="132" t="str">
        <f>'Units and Governance'!B5</f>
        <v>CAD</v>
      </c>
      <c r="D35" s="133">
        <v>1</v>
      </c>
      <c r="E35" s="133"/>
      <c r="F35" s="132"/>
      <c r="G35" s="137"/>
      <c r="H35" s="132" t="s">
        <v>252</v>
      </c>
      <c r="I35" s="194">
        <f>SUM(I29:I34)</f>
        <v>0</v>
      </c>
      <c r="J35" s="132" t="str">
        <f>'Units and Governance'!B5</f>
        <v>CAD</v>
      </c>
      <c r="K35" s="133">
        <v>1</v>
      </c>
      <c r="L35" s="133"/>
      <c r="M35" s="132"/>
    </row>
    <row r="36" spans="1:13" ht="20.149999999999999" customHeight="1" x14ac:dyDescent="0.35">
      <c r="A36" s="33"/>
      <c r="B36" s="36"/>
      <c r="C36" s="36"/>
      <c r="D36" s="36"/>
      <c r="E36" s="36"/>
      <c r="F36" s="33"/>
      <c r="G36" s="137"/>
      <c r="H36" s="36"/>
      <c r="I36" s="36"/>
      <c r="J36" s="33"/>
      <c r="K36" s="33"/>
      <c r="L36" s="33"/>
      <c r="M36" s="36"/>
    </row>
    <row r="37" spans="1:13" ht="20.149999999999999" customHeight="1" x14ac:dyDescent="0.35">
      <c r="A37" s="271" t="s">
        <v>253</v>
      </c>
      <c r="B37" s="271"/>
      <c r="C37" s="271"/>
      <c r="D37" s="271"/>
      <c r="E37" s="271"/>
      <c r="F37" s="271"/>
      <c r="G37" s="176"/>
      <c r="H37" s="272" t="s">
        <v>253</v>
      </c>
      <c r="I37" s="272"/>
      <c r="J37" s="272"/>
      <c r="K37" s="272"/>
      <c r="L37" s="272"/>
      <c r="M37" s="272"/>
    </row>
    <row r="38" spans="1:13" ht="20.149999999999999" customHeight="1" x14ac:dyDescent="0.35">
      <c r="A38" s="128" t="s">
        <v>254</v>
      </c>
      <c r="B38" s="130" t="s">
        <v>214</v>
      </c>
      <c r="C38" s="130" t="s">
        <v>215</v>
      </c>
      <c r="D38" s="130"/>
      <c r="E38" s="130"/>
      <c r="F38" s="154" t="s">
        <v>255</v>
      </c>
      <c r="G38" s="143"/>
      <c r="H38" s="130" t="s">
        <v>254</v>
      </c>
      <c r="I38" s="130" t="s">
        <v>214</v>
      </c>
      <c r="J38" s="128" t="s">
        <v>215</v>
      </c>
      <c r="K38" s="128"/>
      <c r="L38" s="128"/>
      <c r="M38" s="155" t="s">
        <v>255</v>
      </c>
    </row>
    <row r="39" spans="1:13" ht="20.149999999999999" customHeight="1" x14ac:dyDescent="0.35">
      <c r="A39" s="174" t="s">
        <v>256</v>
      </c>
      <c r="B39" s="225" t="str">
        <f>IFERROR(B9/B6,"")</f>
        <v/>
      </c>
      <c r="C39" s="108" t="s">
        <v>257</v>
      </c>
      <c r="D39" s="36"/>
      <c r="E39" s="36"/>
      <c r="F39" s="10" t="s">
        <v>258</v>
      </c>
      <c r="G39" s="137"/>
      <c r="H39" s="75" t="s">
        <v>256</v>
      </c>
      <c r="I39" s="190" t="str">
        <f>IFERROR(I9/I6,"")</f>
        <v/>
      </c>
      <c r="J39" s="108" t="s">
        <v>257</v>
      </c>
      <c r="K39" s="33"/>
      <c r="L39" s="33"/>
      <c r="M39" s="75" t="s">
        <v>258</v>
      </c>
    </row>
    <row r="40" spans="1:13" ht="20.149999999999999" customHeight="1" x14ac:dyDescent="0.35">
      <c r="A40" s="174" t="s">
        <v>259</v>
      </c>
      <c r="B40" s="225" t="str">
        <f>IFERROR(B35/B6,"")</f>
        <v/>
      </c>
      <c r="C40" s="108" t="str">
        <f>'Units and Governance'!B5&amp;"/person"</f>
        <v>CAD/person</v>
      </c>
      <c r="D40" s="36"/>
      <c r="E40" s="36"/>
      <c r="F40" s="10" t="s">
        <v>260</v>
      </c>
      <c r="G40" s="137"/>
      <c r="H40" s="75" t="s">
        <v>259</v>
      </c>
      <c r="I40" s="190" t="str">
        <f>IFERROR(I35/I6,"")</f>
        <v/>
      </c>
      <c r="J40" s="108" t="str">
        <f>'Units and Governance'!B5&amp;"/person"</f>
        <v>CAD/person</v>
      </c>
      <c r="K40" s="34"/>
      <c r="L40" s="34"/>
      <c r="M40" s="75" t="s">
        <v>260</v>
      </c>
    </row>
    <row r="41" spans="1:13" ht="20.149999999999999" customHeight="1" x14ac:dyDescent="0.35">
      <c r="A41" s="174" t="s">
        <v>261</v>
      </c>
      <c r="B41" s="225" t="str">
        <f>IFERROR(B10/B6,"")</f>
        <v/>
      </c>
      <c r="C41" s="108" t="str">
        <f>'Units and Governance'!B5&amp;"/person"</f>
        <v>CAD/person</v>
      </c>
      <c r="D41" s="36"/>
      <c r="E41" s="36"/>
      <c r="F41" s="11" t="s">
        <v>262</v>
      </c>
      <c r="G41" s="139"/>
      <c r="H41" s="75" t="s">
        <v>261</v>
      </c>
      <c r="I41" s="190" t="str">
        <f>IFERROR(I10/I6,"")</f>
        <v/>
      </c>
      <c r="J41" s="108" t="str">
        <f>'Units and Governance'!B5&amp;"/person"</f>
        <v>CAD/person</v>
      </c>
      <c r="K41" s="33"/>
      <c r="L41" s="33"/>
      <c r="M41" s="75" t="s">
        <v>262</v>
      </c>
    </row>
    <row r="42" spans="1:13" ht="20.149999999999999" customHeight="1" x14ac:dyDescent="0.35">
      <c r="A42" s="33"/>
      <c r="B42" s="44"/>
      <c r="C42" s="36"/>
      <c r="D42" s="33"/>
      <c r="E42" s="33"/>
      <c r="F42" s="45"/>
      <c r="G42" s="141"/>
      <c r="H42" s="36"/>
      <c r="I42" s="36"/>
      <c r="J42" s="33"/>
      <c r="K42" s="33"/>
      <c r="L42" s="33"/>
      <c r="M42" s="45"/>
    </row>
    <row r="43" spans="1:13" s="93" customFormat="1" ht="24" customHeight="1" x14ac:dyDescent="0.4">
      <c r="A43" s="273" t="s">
        <v>263</v>
      </c>
      <c r="B43" s="273"/>
      <c r="C43" s="273"/>
      <c r="D43" s="273"/>
      <c r="E43" s="273"/>
      <c r="F43" s="273"/>
      <c r="G43" s="142"/>
      <c r="H43" s="274" t="s">
        <v>263</v>
      </c>
      <c r="I43" s="274"/>
      <c r="J43" s="274"/>
      <c r="K43" s="274"/>
      <c r="L43" s="274"/>
      <c r="M43" s="274"/>
    </row>
    <row r="44" spans="1:13" ht="20.149999999999999" customHeight="1" x14ac:dyDescent="0.35">
      <c r="A44" s="265" t="s">
        <v>213</v>
      </c>
      <c r="B44" s="265"/>
      <c r="C44" s="265"/>
      <c r="D44" s="265"/>
      <c r="E44" s="265"/>
      <c r="F44" s="265"/>
      <c r="G44" s="143"/>
      <c r="H44" s="265" t="s">
        <v>213</v>
      </c>
      <c r="I44" s="265"/>
      <c r="J44" s="265"/>
      <c r="K44" s="265"/>
      <c r="L44" s="265"/>
      <c r="M44" s="265"/>
    </row>
    <row r="45" spans="1:13" ht="20.149999999999999" customHeight="1" x14ac:dyDescent="0.35">
      <c r="A45" s="130" t="s">
        <v>92</v>
      </c>
      <c r="B45" s="130" t="s">
        <v>214</v>
      </c>
      <c r="C45" s="130" t="s">
        <v>215</v>
      </c>
      <c r="D45" s="128" t="s">
        <v>216</v>
      </c>
      <c r="E45" s="128"/>
      <c r="F45" s="154" t="s">
        <v>217</v>
      </c>
      <c r="G45" s="143"/>
      <c r="H45" s="130" t="s">
        <v>92</v>
      </c>
      <c r="I45" s="130" t="s">
        <v>214</v>
      </c>
      <c r="J45" s="128" t="s">
        <v>215</v>
      </c>
      <c r="K45" s="130" t="s">
        <v>216</v>
      </c>
      <c r="L45" s="130"/>
      <c r="M45" s="155" t="s">
        <v>217</v>
      </c>
    </row>
    <row r="46" spans="1:13" ht="23.15" customHeight="1" x14ac:dyDescent="0.35">
      <c r="A46" s="175" t="s">
        <v>264</v>
      </c>
      <c r="B46" s="187">
        <v>0</v>
      </c>
      <c r="C46" s="10" t="s">
        <v>146</v>
      </c>
      <c r="D46" s="33"/>
      <c r="E46" s="33"/>
      <c r="F46" s="229" t="s">
        <v>265</v>
      </c>
      <c r="G46" s="139"/>
      <c r="H46" s="75" t="s">
        <v>264</v>
      </c>
      <c r="I46" s="187">
        <v>0</v>
      </c>
      <c r="J46" s="10" t="s">
        <v>146</v>
      </c>
      <c r="K46" s="34"/>
      <c r="L46" s="34"/>
      <c r="M46" s="75" t="s">
        <v>265</v>
      </c>
    </row>
    <row r="47" spans="1:13" ht="35.15" customHeight="1" x14ac:dyDescent="0.35">
      <c r="A47" s="175" t="s">
        <v>285</v>
      </c>
      <c r="B47" s="187">
        <v>0</v>
      </c>
      <c r="C47" s="230" t="str">
        <f>'Units and Governance'!C39</f>
        <v>kg</v>
      </c>
      <c r="D47" s="231">
        <f>IF(B47="","",B47*'Units and Governance'!D39)</f>
        <v>0</v>
      </c>
      <c r="E47" s="37"/>
      <c r="F47" s="229" t="s">
        <v>221</v>
      </c>
      <c r="G47" s="139"/>
      <c r="H47" s="75" t="s">
        <v>285</v>
      </c>
      <c r="I47" s="187">
        <v>0</v>
      </c>
      <c r="J47" s="230" t="str">
        <f>'Units and Governance'!C39</f>
        <v>kg</v>
      </c>
      <c r="K47" s="234">
        <f>IF(I47="","",I47*'Units and Governance'!D39)</f>
        <v>0</v>
      </c>
      <c r="L47" s="235"/>
      <c r="M47" s="75" t="s">
        <v>221</v>
      </c>
    </row>
    <row r="48" spans="1:13" ht="20.149999999999999" customHeight="1" x14ac:dyDescent="0.35">
      <c r="A48" s="175" t="s">
        <v>267</v>
      </c>
      <c r="B48" s="51">
        <v>15</v>
      </c>
      <c r="C48" s="10" t="s">
        <v>223</v>
      </c>
      <c r="D48" s="37"/>
      <c r="E48" s="37"/>
      <c r="F48" s="229" t="s">
        <v>224</v>
      </c>
      <c r="G48" s="139"/>
      <c r="H48" s="75" t="s">
        <v>267</v>
      </c>
      <c r="I48" s="51">
        <v>15</v>
      </c>
      <c r="J48" s="10" t="s">
        <v>223</v>
      </c>
      <c r="K48" s="235"/>
      <c r="L48" s="235"/>
      <c r="M48" s="75" t="s">
        <v>224</v>
      </c>
    </row>
    <row r="49" spans="1:13" ht="20.149999999999999" customHeight="1" x14ac:dyDescent="0.35">
      <c r="A49" s="175" t="s">
        <v>225</v>
      </c>
      <c r="B49" s="225">
        <f>IF(OR(D47="",B48=""),"",D47*B48/100)</f>
        <v>0</v>
      </c>
      <c r="C49" s="108" t="s">
        <v>178</v>
      </c>
      <c r="D49" s="227"/>
      <c r="E49" s="228"/>
      <c r="F49" s="229" t="s">
        <v>226</v>
      </c>
      <c r="G49" s="139"/>
      <c r="H49" s="75" t="s">
        <v>225</v>
      </c>
      <c r="I49" s="225">
        <f>IF(OR(K47="",I48=""),"",K47*I48/100)</f>
        <v>0</v>
      </c>
      <c r="J49" s="108" t="s">
        <v>178</v>
      </c>
      <c r="K49" s="236"/>
      <c r="L49" s="237"/>
      <c r="M49" s="75" t="s">
        <v>226</v>
      </c>
    </row>
    <row r="50" spans="1:13" ht="20.149999999999999" customHeight="1" x14ac:dyDescent="0.35">
      <c r="A50" s="175" t="s">
        <v>227</v>
      </c>
      <c r="B50" s="225">
        <f>IF(B75&gt;0, B75*(B48/100), 0)</f>
        <v>0</v>
      </c>
      <c r="C50" s="108" t="str">
        <f>'Units and Governance'!B5</f>
        <v>CAD</v>
      </c>
      <c r="D50" s="228"/>
      <c r="E50" s="228"/>
      <c r="F50" s="229" t="s">
        <v>228</v>
      </c>
      <c r="G50" s="139"/>
      <c r="H50" s="75" t="s">
        <v>227</v>
      </c>
      <c r="I50" s="225">
        <f>IF(I75&gt;0, I75*(I48/100), 0)</f>
        <v>0</v>
      </c>
      <c r="J50" s="108" t="str">
        <f>'Units and Governance'!B5</f>
        <v>CAD</v>
      </c>
      <c r="K50" s="237"/>
      <c r="L50" s="237"/>
      <c r="M50" s="75" t="s">
        <v>228</v>
      </c>
    </row>
    <row r="51" spans="1:13" ht="20.149999999999999" customHeight="1" x14ac:dyDescent="0.35">
      <c r="A51" s="39"/>
      <c r="B51" s="36"/>
      <c r="C51" s="36"/>
      <c r="D51" s="33"/>
      <c r="E51" s="33"/>
      <c r="F51" s="38"/>
      <c r="G51" s="139"/>
      <c r="H51" s="36"/>
      <c r="I51" s="36"/>
      <c r="J51" s="33"/>
      <c r="K51" s="39"/>
      <c r="L51" s="39"/>
      <c r="M51" s="36"/>
    </row>
    <row r="52" spans="1:13" ht="20.149999999999999" customHeight="1" x14ac:dyDescent="0.35">
      <c r="A52" s="265" t="s">
        <v>229</v>
      </c>
      <c r="B52" s="265"/>
      <c r="C52" s="265"/>
      <c r="D52" s="265"/>
      <c r="E52" s="265"/>
      <c r="F52" s="265"/>
      <c r="G52" s="143"/>
      <c r="H52" s="265" t="s">
        <v>229</v>
      </c>
      <c r="I52" s="265"/>
      <c r="J52" s="265"/>
      <c r="K52" s="265"/>
      <c r="L52" s="265"/>
      <c r="M52" s="265"/>
    </row>
    <row r="53" spans="1:13" ht="20.149999999999999" customHeight="1" x14ac:dyDescent="0.35">
      <c r="A53" s="131" t="s">
        <v>230</v>
      </c>
      <c r="B53" s="130" t="s">
        <v>231</v>
      </c>
      <c r="C53" s="130" t="s">
        <v>215</v>
      </c>
      <c r="D53" s="128" t="s">
        <v>216</v>
      </c>
      <c r="E53" s="128" t="str">
        <f>"Cost ("&amp;'Units and Governance'!B5&amp;")"</f>
        <v>Cost (CAD)</v>
      </c>
      <c r="F53" s="157" t="s">
        <v>232</v>
      </c>
      <c r="G53" s="139"/>
      <c r="H53" s="130" t="s">
        <v>230</v>
      </c>
      <c r="I53" s="130" t="s">
        <v>231</v>
      </c>
      <c r="J53" s="128" t="s">
        <v>215</v>
      </c>
      <c r="K53" s="131" t="s">
        <v>216</v>
      </c>
      <c r="L53" s="131" t="str">
        <f>"Cost ("&amp;'Units and Governance'!B5&amp;")"</f>
        <v>Cost (CAD)</v>
      </c>
      <c r="M53" s="158" t="s">
        <v>232</v>
      </c>
    </row>
    <row r="54" spans="1:13" ht="20.149999999999999" customHeight="1" x14ac:dyDescent="0.35">
      <c r="A54" s="223" t="str">
        <f>'Units and Governance'!B19</f>
        <v>Lined hot cups</v>
      </c>
      <c r="B54" s="189"/>
      <c r="C54" s="108" t="str">
        <f>'Units and Governance'!C39</f>
        <v>kg</v>
      </c>
      <c r="D54" s="225" t="str">
        <f>IF(B54="","",B54*'Units and Governance'!D39)</f>
        <v/>
      </c>
      <c r="E54" s="225">
        <f t="shared" ref="E54:E64" si="4">IF($B$75=0,0,IF(AND($D$47&lt;&gt;"", $D$47&gt;0),(D54/$D$47)*$B$75,IF($D$65&gt;0,(D54/$D$65)*$B$75,0)))</f>
        <v>0</v>
      </c>
      <c r="F54" s="216"/>
      <c r="G54" s="139"/>
      <c r="H54" s="220" t="str">
        <f>'Units and Governance'!B19</f>
        <v>Lined hot cups</v>
      </c>
      <c r="I54" s="189"/>
      <c r="J54" s="108" t="str">
        <f>'Units and Governance'!C39</f>
        <v>kg</v>
      </c>
      <c r="K54" s="224" t="str">
        <f>IF(I54="","",I54*'Units and Governance'!D39)</f>
        <v/>
      </c>
      <c r="L54" s="224">
        <f t="shared" ref="L54:L64" si="5">IF($I$75=0,0,IF(AND($K$47&lt;&gt;"", $K$47&gt;0),(K54/$K$47)*$I$75,IF($K$65&gt;0,(K54/$K$65)*$I$75,0)))</f>
        <v>0</v>
      </c>
      <c r="M54" s="54"/>
    </row>
    <row r="55" spans="1:13" ht="20.149999999999999" customHeight="1" x14ac:dyDescent="0.35">
      <c r="A55" s="223" t="str">
        <f>'Units and Governance'!B20</f>
        <v>Plastic cold cups</v>
      </c>
      <c r="B55" s="189"/>
      <c r="C55" s="226" t="str">
        <f>'Units and Governance'!C39</f>
        <v>kg</v>
      </c>
      <c r="D55" s="224" t="str">
        <f>IF(B55="","",B55*'Units and Governance'!D39)</f>
        <v/>
      </c>
      <c r="E55" s="224">
        <f t="shared" si="4"/>
        <v>0</v>
      </c>
      <c r="F55" s="55"/>
      <c r="G55" s="138"/>
      <c r="H55" s="221" t="str">
        <f>'Units and Governance'!B20</f>
        <v>Plastic cold cups</v>
      </c>
      <c r="I55" s="189"/>
      <c r="J55" s="108" t="str">
        <f>'Units and Governance'!C39</f>
        <v>kg</v>
      </c>
      <c r="K55" s="224" t="str">
        <f>IF(I55="","",I55*'Units and Governance'!D39)</f>
        <v/>
      </c>
      <c r="L55" s="224">
        <f t="shared" si="5"/>
        <v>0</v>
      </c>
      <c r="M55" s="55"/>
    </row>
    <row r="56" spans="1:13" ht="20.149999999999999" customHeight="1" x14ac:dyDescent="0.35">
      <c r="A56" s="223" t="str">
        <f>'Units and Governance'!B21</f>
        <v>Cup lids</v>
      </c>
      <c r="B56" s="189"/>
      <c r="C56" s="108" t="str">
        <f>'Units and Governance'!C39</f>
        <v>kg</v>
      </c>
      <c r="D56" s="225" t="str">
        <f>IF(B56="","",B56*'Units and Governance'!D39)</f>
        <v/>
      </c>
      <c r="E56" s="225">
        <f t="shared" si="4"/>
        <v>0</v>
      </c>
      <c r="F56" s="54"/>
      <c r="G56" s="137"/>
      <c r="H56" s="220" t="str">
        <f>'Units and Governance'!B21</f>
        <v>Cup lids</v>
      </c>
      <c r="I56" s="189"/>
      <c r="J56" s="108" t="str">
        <f>'Units and Governance'!C39</f>
        <v>kg</v>
      </c>
      <c r="K56" s="225" t="str">
        <f>IF(I56="","",I56*'Units and Governance'!D39)</f>
        <v/>
      </c>
      <c r="L56" s="225">
        <f t="shared" si="5"/>
        <v>0</v>
      </c>
      <c r="M56" s="54"/>
    </row>
    <row r="57" spans="1:13" ht="20.149999999999999" customHeight="1" x14ac:dyDescent="0.35">
      <c r="A57" s="223" t="str">
        <f>'Units and Governance'!B22</f>
        <v>Vaping devices</v>
      </c>
      <c r="B57" s="189"/>
      <c r="C57" s="108" t="str">
        <f>'Units and Governance'!C39</f>
        <v>kg</v>
      </c>
      <c r="D57" s="225" t="str">
        <f>IF(B57="","",B57*'Units and Governance'!D39)</f>
        <v/>
      </c>
      <c r="E57" s="225">
        <f t="shared" si="4"/>
        <v>0</v>
      </c>
      <c r="F57" s="54"/>
      <c r="G57" s="137"/>
      <c r="H57" s="220" t="str">
        <f>'Units and Governance'!B22</f>
        <v>Vaping devices</v>
      </c>
      <c r="I57" s="189"/>
      <c r="J57" s="108" t="str">
        <f>'Units and Governance'!C39</f>
        <v>kg</v>
      </c>
      <c r="K57" s="225" t="str">
        <f>IF(I57="","",I57*'Units and Governance'!D39)</f>
        <v/>
      </c>
      <c r="L57" s="225">
        <f>IF($I$75=0,0,IF(AND($K$47&lt;&gt;"", $K$47&gt;0),(K57/$K$47)*$I$75,IF($K$65&gt;0,(K57/$K$65)*$I$75,0)))</f>
        <v>0</v>
      </c>
      <c r="M57" s="54"/>
    </row>
    <row r="58" spans="1:13" ht="20.149999999999999" customHeight="1" x14ac:dyDescent="0.35">
      <c r="A58" s="223" t="str">
        <f>'Units and Governance'!B23</f>
        <v>Bottle caps</v>
      </c>
      <c r="B58" s="189"/>
      <c r="C58" s="108" t="str">
        <f>'Units and Governance'!C39</f>
        <v>kg</v>
      </c>
      <c r="D58" s="225" t="str">
        <f>IF(B58="","",B58*'Units and Governance'!D39)</f>
        <v/>
      </c>
      <c r="E58" s="225">
        <f t="shared" si="4"/>
        <v>0</v>
      </c>
      <c r="F58" s="54"/>
      <c r="G58" s="137"/>
      <c r="H58" s="220" t="str">
        <f>'Units and Governance'!B23</f>
        <v>Bottle caps</v>
      </c>
      <c r="I58" s="189"/>
      <c r="J58" s="108" t="str">
        <f>'Units and Governance'!C39</f>
        <v>kg</v>
      </c>
      <c r="K58" s="225" t="str">
        <f>IF(I58="","",I58*'Units and Governance'!D39)</f>
        <v/>
      </c>
      <c r="L58" s="225">
        <f t="shared" si="5"/>
        <v>0</v>
      </c>
      <c r="M58" s="54"/>
    </row>
    <row r="59" spans="1:13" ht="20.149999999999999" customHeight="1" x14ac:dyDescent="0.35">
      <c r="A59" s="223" t="str">
        <f>'Units and Governance'!B24</f>
        <v>Plastic bottles</v>
      </c>
      <c r="B59" s="189"/>
      <c r="C59" s="108" t="str">
        <f>'Units and Governance'!C39</f>
        <v>kg</v>
      </c>
      <c r="D59" s="225" t="str">
        <f>IF(B59="","",B59*'Units and Governance'!D39)</f>
        <v/>
      </c>
      <c r="E59" s="225">
        <f t="shared" si="4"/>
        <v>0</v>
      </c>
      <c r="F59" s="54"/>
      <c r="G59" s="137"/>
      <c r="H59" s="220" t="str">
        <f>'Units and Governance'!B24</f>
        <v>Plastic bottles</v>
      </c>
      <c r="I59" s="189"/>
      <c r="J59" s="108" t="str">
        <f>'Units and Governance'!C39</f>
        <v>kg</v>
      </c>
      <c r="K59" s="224" t="str">
        <f>IF(I59="","",I59*'Units and Governance'!D39)</f>
        <v/>
      </c>
      <c r="L59" s="224">
        <f t="shared" si="5"/>
        <v>0</v>
      </c>
      <c r="M59" s="54"/>
    </row>
    <row r="60" spans="1:13" ht="20.149999999999999" customHeight="1" x14ac:dyDescent="0.35">
      <c r="A60" s="223" t="str">
        <f>'Units and Governance'!B25</f>
        <v>Foam trays</v>
      </c>
      <c r="B60" s="189"/>
      <c r="C60" s="108" t="str">
        <f>'Units and Governance'!C39</f>
        <v>kg</v>
      </c>
      <c r="D60" s="225" t="str">
        <f>IF(B60="","",B60*'Units and Governance'!D39)</f>
        <v/>
      </c>
      <c r="E60" s="225">
        <f t="shared" si="4"/>
        <v>0</v>
      </c>
      <c r="F60" s="54"/>
      <c r="G60" s="137"/>
      <c r="H60" s="220" t="str">
        <f>'Units and Governance'!B25</f>
        <v>Foam trays</v>
      </c>
      <c r="I60" s="189"/>
      <c r="J60" s="108" t="str">
        <f>'Units and Governance'!C39</f>
        <v>kg</v>
      </c>
      <c r="K60" s="224" t="str">
        <f>IF(I60="","",I60*'Units and Governance'!D39)</f>
        <v/>
      </c>
      <c r="L60" s="224">
        <f t="shared" si="5"/>
        <v>0</v>
      </c>
      <c r="M60" s="54"/>
    </row>
    <row r="61" spans="1:13" ht="20.149999999999999" customHeight="1" x14ac:dyDescent="0.35">
      <c r="A61" s="223" t="str">
        <f>'Units and Governance'!B26</f>
        <v>Tampon applicators</v>
      </c>
      <c r="B61" s="189"/>
      <c r="C61" s="108" t="str">
        <f>'Units and Governance'!C39</f>
        <v>kg</v>
      </c>
      <c r="D61" s="225" t="str">
        <f>IF(B61="","",B61*'Units and Governance'!D39)</f>
        <v/>
      </c>
      <c r="E61" s="225">
        <f t="shared" si="4"/>
        <v>0</v>
      </c>
      <c r="F61" s="54"/>
      <c r="G61" s="137"/>
      <c r="H61" s="220" t="str">
        <f>'Units and Governance'!B26</f>
        <v>Tampon applicators</v>
      </c>
      <c r="I61" s="189"/>
      <c r="J61" s="108" t="str">
        <f>'Units and Governance'!C39</f>
        <v>kg</v>
      </c>
      <c r="K61" s="224" t="str">
        <f>IF(I61="","",I61*'Units and Governance'!D39)</f>
        <v/>
      </c>
      <c r="L61" s="224">
        <f t="shared" si="5"/>
        <v>0</v>
      </c>
      <c r="M61" s="54"/>
    </row>
    <row r="62" spans="1:13" ht="20.149999999999999" customHeight="1" x14ac:dyDescent="0.35">
      <c r="A62" s="223" t="str">
        <f>'Units and Governance'!B27</f>
        <v>Other SUP 1</v>
      </c>
      <c r="B62" s="191"/>
      <c r="C62" s="108" t="str">
        <f>'Units and Governance'!C39</f>
        <v>kg</v>
      </c>
      <c r="D62" s="225" t="str">
        <f>IF(B62="","",B62*'Units and Governance'!D39)</f>
        <v/>
      </c>
      <c r="E62" s="225">
        <f t="shared" si="4"/>
        <v>0</v>
      </c>
      <c r="F62" s="54"/>
      <c r="G62" s="137"/>
      <c r="H62" s="220" t="str">
        <f>'Units and Governance'!B27</f>
        <v>Other SUP 1</v>
      </c>
      <c r="I62" s="189"/>
      <c r="J62" s="108" t="str">
        <f>'Units and Governance'!C39</f>
        <v>kg</v>
      </c>
      <c r="K62" s="225" t="str">
        <f>IF(I62="","",I62*'Units and Governance'!D39)</f>
        <v/>
      </c>
      <c r="L62" s="225">
        <f t="shared" si="5"/>
        <v>0</v>
      </c>
      <c r="M62" s="53"/>
    </row>
    <row r="63" spans="1:13" ht="20.149999999999999" customHeight="1" x14ac:dyDescent="0.35">
      <c r="A63" s="223" t="str">
        <f>'Units and Governance'!B28</f>
        <v>Other SUP 2</v>
      </c>
      <c r="B63" s="191"/>
      <c r="C63" s="108" t="str">
        <f>'Units and Governance'!C39</f>
        <v>kg</v>
      </c>
      <c r="D63" s="225" t="str">
        <f>IF(B63="","",B63*'Units and Governance'!D39)</f>
        <v/>
      </c>
      <c r="E63" s="225">
        <f t="shared" si="4"/>
        <v>0</v>
      </c>
      <c r="F63" s="54"/>
      <c r="G63" s="137"/>
      <c r="H63" s="220" t="str">
        <f>'Units and Governance'!B28</f>
        <v>Other SUP 2</v>
      </c>
      <c r="I63" s="189"/>
      <c r="J63" s="108" t="str">
        <f>'Units and Governance'!C39</f>
        <v>kg</v>
      </c>
      <c r="K63" s="224" t="str">
        <f>IF(I63="","",I63*'Units and Governance'!D39)</f>
        <v/>
      </c>
      <c r="L63" s="224">
        <f t="shared" si="5"/>
        <v>0</v>
      </c>
      <c r="M63" s="53"/>
    </row>
    <row r="64" spans="1:13" ht="20.149999999999999" customHeight="1" x14ac:dyDescent="0.35">
      <c r="A64" s="98" t="str">
        <f>'Units and Governance'!B29</f>
        <v>Other SUP 3</v>
      </c>
      <c r="B64" s="183"/>
      <c r="C64" s="103" t="str">
        <f>'Units and Governance'!C39</f>
        <v>kg</v>
      </c>
      <c r="D64" s="185" t="str">
        <f>IF(B64="","",B64*'Units and Governance'!D39)</f>
        <v/>
      </c>
      <c r="E64" s="185">
        <f t="shared" si="4"/>
        <v>0</v>
      </c>
      <c r="F64" s="216"/>
      <c r="G64" s="144"/>
      <c r="H64" s="222" t="str">
        <f>'Units and Governance'!B29</f>
        <v>Other SUP 3</v>
      </c>
      <c r="I64" s="183"/>
      <c r="J64" s="103" t="str">
        <f>'Units and Governance'!C39</f>
        <v>kg</v>
      </c>
      <c r="K64" s="185" t="str">
        <f>IF(I64="","",I64*'Units and Governance'!D39)</f>
        <v/>
      </c>
      <c r="L64" s="185">
        <f t="shared" si="5"/>
        <v>0</v>
      </c>
      <c r="M64" s="48"/>
    </row>
    <row r="65" spans="1:19" ht="20.149999999999999" customHeight="1" x14ac:dyDescent="0.35">
      <c r="A65" s="122" t="s">
        <v>233</v>
      </c>
      <c r="B65" s="192">
        <f>SUM(D54:D64)</f>
        <v>0</v>
      </c>
      <c r="C65" s="122" t="s">
        <v>178</v>
      </c>
      <c r="D65" s="192">
        <f>SUM(D54:D64)</f>
        <v>0</v>
      </c>
      <c r="E65" s="124">
        <f>IFERROR(IF(B47&gt;0,(D65/B47)*B75,0),0)</f>
        <v>0</v>
      </c>
      <c r="F65" s="122" t="s">
        <v>268</v>
      </c>
      <c r="G65" s="144"/>
      <c r="H65" s="122" t="s">
        <v>233</v>
      </c>
      <c r="I65" s="192">
        <f>SUM(K54:K64)</f>
        <v>0</v>
      </c>
      <c r="J65" s="122" t="s">
        <v>178</v>
      </c>
      <c r="K65" s="192">
        <f>SUM(K54:K64)</f>
        <v>0</v>
      </c>
      <c r="L65" s="124">
        <f>IFERROR(IF(I47&gt;0,(K65/I47)*I75,0),0)</f>
        <v>0</v>
      </c>
      <c r="M65" s="122" t="s">
        <v>268</v>
      </c>
    </row>
    <row r="66" spans="1:19" ht="20.149999999999999" customHeight="1" x14ac:dyDescent="0.35">
      <c r="A66" s="23"/>
      <c r="B66" s="23"/>
      <c r="C66" s="23"/>
      <c r="D66" s="23"/>
      <c r="E66" s="23"/>
      <c r="F66" s="23"/>
      <c r="G66" s="144"/>
      <c r="H66" s="23"/>
      <c r="I66" s="23"/>
      <c r="J66" s="23"/>
      <c r="K66" s="23"/>
      <c r="L66" s="23"/>
      <c r="M66" s="23"/>
      <c r="S66" s="186"/>
    </row>
    <row r="67" spans="1:19" ht="20.149999999999999" customHeight="1" x14ac:dyDescent="0.35">
      <c r="A67" s="259" t="s">
        <v>235</v>
      </c>
      <c r="B67" s="259"/>
      <c r="C67" s="259"/>
      <c r="D67" s="259"/>
      <c r="E67" s="259"/>
      <c r="F67" s="259"/>
      <c r="G67" s="144"/>
      <c r="H67" s="259" t="s">
        <v>235</v>
      </c>
      <c r="I67" s="259"/>
      <c r="J67" s="259"/>
      <c r="K67" s="259"/>
      <c r="L67" s="259"/>
      <c r="M67" s="259"/>
    </row>
    <row r="68" spans="1:19" ht="20.149999999999999" customHeight="1" x14ac:dyDescent="0.35">
      <c r="A68" s="15" t="s">
        <v>236</v>
      </c>
      <c r="B68" s="15" t="s">
        <v>237</v>
      </c>
      <c r="C68" s="15" t="s">
        <v>238</v>
      </c>
      <c r="D68" s="15" t="s">
        <v>239</v>
      </c>
      <c r="E68" s="15"/>
      <c r="F68" s="153" t="s">
        <v>240</v>
      </c>
      <c r="G68" s="144"/>
      <c r="H68" s="15" t="s">
        <v>236</v>
      </c>
      <c r="I68" s="15" t="s">
        <v>237</v>
      </c>
      <c r="J68" s="15" t="s">
        <v>238</v>
      </c>
      <c r="K68" s="15" t="s">
        <v>239</v>
      </c>
      <c r="L68" s="15"/>
      <c r="M68" s="153" t="s">
        <v>240</v>
      </c>
    </row>
    <row r="69" spans="1:19" ht="20.149999999999999" customHeight="1" x14ac:dyDescent="0.35">
      <c r="A69" s="209" t="s">
        <v>241</v>
      </c>
      <c r="B69" s="207">
        <v>0</v>
      </c>
      <c r="C69" s="109" t="str">
        <f>'Units and Governance'!B5</f>
        <v>CAD</v>
      </c>
      <c r="D69" s="111" t="str">
        <f t="shared" ref="D69:D74" si="6">IF(OR(B69="",B$75=0),"",B69/B$75)</f>
        <v/>
      </c>
      <c r="E69" s="46"/>
      <c r="F69" s="209" t="s">
        <v>284</v>
      </c>
      <c r="G69" s="144"/>
      <c r="H69" s="209" t="s">
        <v>241</v>
      </c>
      <c r="I69" s="207">
        <v>0</v>
      </c>
      <c r="J69" s="109" t="str">
        <f>'Units and Governance'!B5</f>
        <v>CAD</v>
      </c>
      <c r="K69" s="111" t="str">
        <f t="shared" ref="K69:K74" si="7">IF(OR(I69="",I$75=0),"",I69/I$75)</f>
        <v/>
      </c>
      <c r="L69" s="46"/>
      <c r="M69" s="209" t="s">
        <v>284</v>
      </c>
    </row>
    <row r="70" spans="1:19" ht="20.149999999999999" customHeight="1" x14ac:dyDescent="0.35">
      <c r="A70" s="209" t="s">
        <v>244</v>
      </c>
      <c r="B70" s="207">
        <v>0</v>
      </c>
      <c r="C70" s="109" t="str">
        <f>'Units and Governance'!B5</f>
        <v>CAD</v>
      </c>
      <c r="D70" s="111" t="str">
        <f t="shared" si="6"/>
        <v/>
      </c>
      <c r="E70" s="46"/>
      <c r="F70" s="209" t="s">
        <v>269</v>
      </c>
      <c r="G70" s="144"/>
      <c r="H70" s="212" t="s">
        <v>244</v>
      </c>
      <c r="I70" s="207">
        <v>0</v>
      </c>
      <c r="J70" s="109" t="str">
        <f>'Units and Governance'!B5</f>
        <v>CAD</v>
      </c>
      <c r="K70" s="111" t="str">
        <f t="shared" si="7"/>
        <v/>
      </c>
      <c r="L70" s="46"/>
      <c r="M70" s="209" t="s">
        <v>269</v>
      </c>
    </row>
    <row r="71" spans="1:19" ht="20.149999999999999" customHeight="1" x14ac:dyDescent="0.35">
      <c r="A71" s="209" t="s">
        <v>270</v>
      </c>
      <c r="B71" s="219">
        <v>0</v>
      </c>
      <c r="C71" s="110" t="str">
        <f>'Units and Governance'!B5</f>
        <v>CAD</v>
      </c>
      <c r="D71" s="112" t="str">
        <f t="shared" si="6"/>
        <v/>
      </c>
      <c r="E71" s="47"/>
      <c r="F71" s="218" t="s">
        <v>271</v>
      </c>
      <c r="G71" s="145"/>
      <c r="H71" s="209" t="s">
        <v>270</v>
      </c>
      <c r="I71" s="219">
        <v>0</v>
      </c>
      <c r="J71" s="110" t="str">
        <f>'Units and Governance'!B5</f>
        <v>CAD</v>
      </c>
      <c r="K71" s="112" t="str">
        <f t="shared" si="7"/>
        <v/>
      </c>
      <c r="L71" s="47"/>
      <c r="M71" s="218" t="s">
        <v>271</v>
      </c>
    </row>
    <row r="72" spans="1:19" ht="20.149999999999999" customHeight="1" x14ac:dyDescent="0.35">
      <c r="A72" s="209" t="s">
        <v>272</v>
      </c>
      <c r="B72" s="219">
        <v>0</v>
      </c>
      <c r="C72" s="110" t="str">
        <f>'Units and Governance'!B5</f>
        <v>CAD</v>
      </c>
      <c r="D72" s="112" t="str">
        <f t="shared" si="6"/>
        <v/>
      </c>
      <c r="E72" s="47"/>
      <c r="F72" s="218" t="s">
        <v>273</v>
      </c>
      <c r="G72" s="145"/>
      <c r="H72" s="212" t="s">
        <v>272</v>
      </c>
      <c r="I72" s="219">
        <v>0</v>
      </c>
      <c r="J72" s="110" t="str">
        <f>'Units and Governance'!B5</f>
        <v>CAD</v>
      </c>
      <c r="K72" s="112" t="str">
        <f t="shared" si="7"/>
        <v/>
      </c>
      <c r="L72" s="47"/>
      <c r="M72" s="218" t="s">
        <v>273</v>
      </c>
    </row>
    <row r="73" spans="1:19" ht="20.149999999999999" customHeight="1" x14ac:dyDescent="0.35">
      <c r="A73" s="209" t="s">
        <v>248</v>
      </c>
      <c r="B73" s="219">
        <v>0</v>
      </c>
      <c r="C73" s="110" t="str">
        <f>'Units and Governance'!B5</f>
        <v>CAD</v>
      </c>
      <c r="D73" s="112" t="str">
        <f t="shared" si="6"/>
        <v/>
      </c>
      <c r="E73" s="47"/>
      <c r="F73" s="218" t="s">
        <v>249</v>
      </c>
      <c r="G73" s="145"/>
      <c r="H73" s="209" t="s">
        <v>248</v>
      </c>
      <c r="I73" s="219">
        <v>0</v>
      </c>
      <c r="J73" s="110" t="str">
        <f>'Units and Governance'!B5</f>
        <v>CAD</v>
      </c>
      <c r="K73" s="112" t="str">
        <f t="shared" si="7"/>
        <v/>
      </c>
      <c r="L73" s="47"/>
      <c r="M73" s="218" t="s">
        <v>249</v>
      </c>
    </row>
    <row r="74" spans="1:19" ht="20.149999999999999" customHeight="1" x14ac:dyDescent="0.35">
      <c r="A74" s="209" t="s">
        <v>250</v>
      </c>
      <c r="B74" s="219">
        <v>0</v>
      </c>
      <c r="C74" s="110" t="str">
        <f>'Units and Governance'!B5</f>
        <v>CAD</v>
      </c>
      <c r="D74" s="112" t="str">
        <f t="shared" si="6"/>
        <v/>
      </c>
      <c r="E74" s="47"/>
      <c r="F74" s="218" t="s">
        <v>249</v>
      </c>
      <c r="G74" s="145"/>
      <c r="H74" s="209" t="s">
        <v>241</v>
      </c>
      <c r="I74" s="207">
        <v>0</v>
      </c>
      <c r="J74" s="110" t="str">
        <f>'Units and Governance'!B5</f>
        <v>CAD</v>
      </c>
      <c r="K74" s="112" t="str">
        <f t="shared" si="7"/>
        <v/>
      </c>
      <c r="L74" s="47"/>
      <c r="M74" s="209" t="s">
        <v>284</v>
      </c>
    </row>
    <row r="75" spans="1:19" ht="20.149999999999999" customHeight="1" x14ac:dyDescent="0.35">
      <c r="A75" s="122" t="s">
        <v>274</v>
      </c>
      <c r="B75" s="192">
        <f>SUM(B69:B74)</f>
        <v>0</v>
      </c>
      <c r="C75" s="122" t="str">
        <f>'Units and Governance'!B5</f>
        <v>CAD</v>
      </c>
      <c r="D75" s="125">
        <v>1</v>
      </c>
      <c r="E75" s="125"/>
      <c r="F75" s="122"/>
      <c r="G75" s="145"/>
      <c r="H75" s="122" t="s">
        <v>274</v>
      </c>
      <c r="I75" s="192">
        <f>SUM(I69:I74)</f>
        <v>0</v>
      </c>
      <c r="J75" s="122" t="str">
        <f>'Units and Governance'!B5</f>
        <v>CAD</v>
      </c>
      <c r="K75" s="125">
        <v>1</v>
      </c>
      <c r="L75" s="125"/>
      <c r="M75" s="122"/>
    </row>
    <row r="76" spans="1:19" ht="20.149999999999999" customHeight="1" x14ac:dyDescent="0.35">
      <c r="A76" s="17"/>
      <c r="B76" s="17"/>
      <c r="C76" s="17"/>
      <c r="D76" s="17"/>
      <c r="E76" s="17"/>
      <c r="F76" s="17"/>
      <c r="G76" s="145"/>
      <c r="H76" s="17"/>
      <c r="I76" s="17"/>
      <c r="J76" s="17"/>
      <c r="K76" s="17"/>
      <c r="L76" s="17"/>
      <c r="M76" s="17"/>
    </row>
    <row r="77" spans="1:19" ht="20.149999999999999" customHeight="1" x14ac:dyDescent="0.35">
      <c r="A77" s="259" t="s">
        <v>253</v>
      </c>
      <c r="B77" s="259"/>
      <c r="C77" s="259"/>
      <c r="D77" s="259"/>
      <c r="E77" s="259"/>
      <c r="F77" s="259"/>
      <c r="G77" s="145"/>
      <c r="H77" s="259" t="s">
        <v>253</v>
      </c>
      <c r="I77" s="259"/>
      <c r="J77" s="259"/>
      <c r="K77" s="259"/>
      <c r="L77" s="259"/>
      <c r="M77" s="259"/>
    </row>
    <row r="78" spans="1:19" ht="20.149999999999999" customHeight="1" x14ac:dyDescent="0.35">
      <c r="A78" s="15" t="s">
        <v>254</v>
      </c>
      <c r="B78" s="15" t="s">
        <v>214</v>
      </c>
      <c r="C78" s="15" t="s">
        <v>215</v>
      </c>
      <c r="D78" s="15"/>
      <c r="E78" s="15"/>
      <c r="F78" s="74" t="s">
        <v>255</v>
      </c>
      <c r="G78" s="145"/>
      <c r="H78" s="15" t="s">
        <v>254</v>
      </c>
      <c r="I78" s="15" t="s">
        <v>214</v>
      </c>
      <c r="J78" s="15" t="s">
        <v>215</v>
      </c>
      <c r="K78" s="15"/>
      <c r="L78" s="15"/>
      <c r="M78" s="74" t="s">
        <v>255</v>
      </c>
    </row>
    <row r="79" spans="1:19" ht="20.149999999999999" customHeight="1" x14ac:dyDescent="0.35">
      <c r="A79" s="13" t="s">
        <v>256</v>
      </c>
      <c r="B79" s="100" t="str">
        <f>IFERROR(B49/B46,"")</f>
        <v/>
      </c>
      <c r="C79" s="103" t="s">
        <v>257</v>
      </c>
      <c r="D79" s="17"/>
      <c r="E79" s="17"/>
      <c r="F79" s="13" t="s">
        <v>258</v>
      </c>
      <c r="G79" s="145"/>
      <c r="H79" s="13" t="s">
        <v>256</v>
      </c>
      <c r="I79" s="100" t="str">
        <f>IFERROR(I49/I46,"")</f>
        <v/>
      </c>
      <c r="J79" s="103" t="s">
        <v>257</v>
      </c>
      <c r="K79" s="17"/>
      <c r="L79" s="17"/>
      <c r="M79" s="13" t="s">
        <v>258</v>
      </c>
    </row>
    <row r="80" spans="1:19" ht="20.149999999999999" customHeight="1" x14ac:dyDescent="0.35">
      <c r="A80" s="13" t="s">
        <v>275</v>
      </c>
      <c r="B80" s="106" t="str">
        <f>IFERROR(B75/B46,"")</f>
        <v/>
      </c>
      <c r="C80" s="103" t="str">
        <f>'Units and Governance'!B5&amp;"/person"</f>
        <v>CAD/person</v>
      </c>
      <c r="D80" s="17"/>
      <c r="E80" s="17"/>
      <c r="F80" s="13" t="s">
        <v>260</v>
      </c>
      <c r="G80" s="145"/>
      <c r="H80" s="13" t="s">
        <v>275</v>
      </c>
      <c r="I80" s="106" t="str">
        <f>IFERROR(I75/I46,"")</f>
        <v/>
      </c>
      <c r="J80" s="103" t="str">
        <f>'Units and Governance'!B5&amp;"/person"</f>
        <v>CAD/person</v>
      </c>
      <c r="K80" s="17"/>
      <c r="L80" s="17"/>
      <c r="M80" s="13" t="s">
        <v>260</v>
      </c>
    </row>
    <row r="81" spans="1:13" ht="20.149999999999999" customHeight="1" x14ac:dyDescent="0.35">
      <c r="A81" s="13" t="s">
        <v>261</v>
      </c>
      <c r="B81" s="106" t="str">
        <f>IFERROR(B50/B46,"")</f>
        <v/>
      </c>
      <c r="C81" s="103" t="str">
        <f>'Units and Governance'!B5&amp;"/person"</f>
        <v>CAD/person</v>
      </c>
      <c r="D81" s="17"/>
      <c r="E81" s="17"/>
      <c r="F81" s="13" t="s">
        <v>262</v>
      </c>
      <c r="G81" s="145"/>
      <c r="H81" s="13" t="s">
        <v>261</v>
      </c>
      <c r="I81" s="106" t="str">
        <f>IFERROR(I50/I46,"")</f>
        <v/>
      </c>
      <c r="J81" s="103" t="str">
        <f>'Units and Governance'!B5&amp;"/person"</f>
        <v>CAD/person</v>
      </c>
      <c r="K81" s="17"/>
      <c r="L81" s="17"/>
      <c r="M81" s="13" t="s">
        <v>262</v>
      </c>
    </row>
    <row r="82" spans="1:13" ht="20.149999999999999" customHeight="1" x14ac:dyDescent="0.35">
      <c r="A82" s="17"/>
      <c r="B82" s="17" t="str">
        <f>IF(B46=0,"",B77/B46)</f>
        <v/>
      </c>
      <c r="C82" s="17"/>
      <c r="D82" s="17"/>
      <c r="E82" s="17"/>
      <c r="F82" s="17"/>
      <c r="G82" s="17"/>
      <c r="H82" s="17"/>
      <c r="I82" s="17" t="str">
        <f>IF(I46=0,"",I77/I46)</f>
        <v/>
      </c>
      <c r="J82" s="17"/>
      <c r="K82" s="17"/>
      <c r="L82" s="17"/>
      <c r="M82" s="17"/>
    </row>
    <row r="83" spans="1:13" ht="20.149999999999999" customHeight="1" x14ac:dyDescent="0.35">
      <c r="A83" s="17"/>
      <c r="B83" s="17" t="str">
        <f>IF(B46=0,"",B50/B46)</f>
        <v/>
      </c>
      <c r="C83" s="17"/>
      <c r="D83" s="17"/>
      <c r="E83" s="17"/>
      <c r="F83" s="17"/>
      <c r="G83" s="17"/>
      <c r="H83" s="17"/>
      <c r="I83" s="17" t="str">
        <f>IF(I46=0,"",I50/I46)</f>
        <v/>
      </c>
      <c r="J83" s="17"/>
      <c r="K83" s="17"/>
      <c r="L83" s="17"/>
      <c r="M83" s="17"/>
    </row>
    <row r="84" spans="1:13" ht="20.149999999999999" customHeight="1" x14ac:dyDescent="0.35">
      <c r="A84" s="17"/>
      <c r="B84" s="17"/>
      <c r="C84" s="17"/>
      <c r="D84" s="17"/>
      <c r="E84" s="17"/>
      <c r="F84" s="17"/>
      <c r="G84" s="17"/>
      <c r="H84" s="17"/>
      <c r="I84" s="17"/>
      <c r="J84" s="17"/>
      <c r="K84" s="17"/>
      <c r="L84" s="17"/>
      <c r="M84" s="17"/>
    </row>
    <row r="85" spans="1:13" ht="20.149999999999999" customHeight="1" x14ac:dyDescent="0.35">
      <c r="A85" s="166" t="s">
        <v>207</v>
      </c>
      <c r="B85" s="17"/>
      <c r="C85" s="17"/>
      <c r="D85" s="17"/>
      <c r="E85" s="17"/>
      <c r="F85" s="17"/>
      <c r="G85" s="17"/>
      <c r="H85" s="17"/>
      <c r="I85" s="17"/>
      <c r="J85" s="17"/>
      <c r="K85" s="17"/>
      <c r="L85" s="17"/>
      <c r="M85" s="17"/>
    </row>
    <row r="86" spans="1:13" x14ac:dyDescent="0.35">
      <c r="A86" s="16" t="s">
        <v>111</v>
      </c>
      <c r="B86" t="s">
        <v>276</v>
      </c>
    </row>
    <row r="87" spans="1:13" x14ac:dyDescent="0.35">
      <c r="A87" s="104" t="s">
        <v>114</v>
      </c>
      <c r="B87" t="s">
        <v>209</v>
      </c>
    </row>
    <row r="88" spans="1:13" x14ac:dyDescent="0.35">
      <c r="A88" s="9" t="s">
        <v>117</v>
      </c>
      <c r="B88" t="s">
        <v>277</v>
      </c>
    </row>
    <row r="90" spans="1:13" ht="16" x14ac:dyDescent="0.4">
      <c r="A90" s="172" t="s">
        <v>286</v>
      </c>
      <c r="B90" s="173"/>
      <c r="C90" s="173"/>
      <c r="D90" s="173"/>
      <c r="E90" s="173"/>
      <c r="F90" s="173"/>
      <c r="G90" s="95"/>
      <c r="H90" s="173"/>
      <c r="I90" s="173"/>
      <c r="J90" s="173"/>
      <c r="K90" s="173"/>
      <c r="L90" s="173"/>
      <c r="M90" s="173"/>
    </row>
    <row r="91" spans="1:13" s="182" customFormat="1" x14ac:dyDescent="0.35">
      <c r="A91" s="204" t="str">
        <f>"SUP Weight: Garbage vs Recycling - Year "&amp;'Units and Governance'!B14&amp;" (kg)"</f>
        <v>SUP Weight: Garbage vs Recycling - Year 2010 (kg)</v>
      </c>
      <c r="B91" s="204"/>
      <c r="H91" s="204" t="str">
        <f>"SUP Cost: Garbage vs Recycling - Year "&amp;'Units and Governance'!B14&amp;" ("&amp;'Units and Governance'!B5&amp;")"</f>
        <v>SUP Cost: Garbage vs Recycling - Year 2010 (CAD)</v>
      </c>
      <c r="I91" s="204"/>
    </row>
    <row r="111" spans="1:9" s="182" customFormat="1" x14ac:dyDescent="0.35">
      <c r="A111" s="204" t="str">
        <f>"SUP Weight: Garbage vs Recycling - Year "&amp;'Units and Governance'!B15&amp;" (kg)"</f>
        <v>SUP Weight: Garbage vs Recycling - Year 2026 (kg)</v>
      </c>
      <c r="B111" s="204"/>
      <c r="H111" s="204" t="str">
        <f>"SUP Cost: Garbage vs Recycling - Year "&amp;'Units and Governance'!B15&amp;" ("&amp;'Units and Governance'!B5&amp;")"</f>
        <v>SUP Cost: Garbage vs Recycling - Year 2026 (CAD)</v>
      </c>
      <c r="I111" s="204"/>
    </row>
  </sheetData>
  <sheetProtection sheet="1" objects="1" scenarios="1"/>
  <mergeCells count="23">
    <mergeCell ref="A52:F52"/>
    <mergeCell ref="H52:M52"/>
    <mergeCell ref="A67:F67"/>
    <mergeCell ref="H67:M67"/>
    <mergeCell ref="A77:F77"/>
    <mergeCell ref="H77:M77"/>
    <mergeCell ref="A37:F37"/>
    <mergeCell ref="H37:M37"/>
    <mergeCell ref="A43:F43"/>
    <mergeCell ref="H43:M43"/>
    <mergeCell ref="A44:F44"/>
    <mergeCell ref="H44:M44"/>
    <mergeCell ref="A12:F12"/>
    <mergeCell ref="H12:M12"/>
    <mergeCell ref="A27:F27"/>
    <mergeCell ref="H27:M27"/>
    <mergeCell ref="A1:F1"/>
    <mergeCell ref="H1:M1"/>
    <mergeCell ref="A3:F3"/>
    <mergeCell ref="H3:M3"/>
    <mergeCell ref="A4:F4"/>
    <mergeCell ref="H4:M4"/>
    <mergeCell ref="A2:F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376C-8CB2-4D98-8D12-7C81E099DC6F}">
  <sheetPr>
    <tabColor rgb="FFD8E8FC"/>
  </sheetPr>
  <dimension ref="A1:Q45"/>
  <sheetViews>
    <sheetView showGridLines="0" zoomScale="49" zoomScaleNormal="100" workbookViewId="0">
      <pane ySplit="1" topLeftCell="A2" activePane="bottomLeft" state="frozen"/>
      <selection pane="bottomLeft" activeCell="B29" sqref="B29"/>
    </sheetView>
  </sheetViews>
  <sheetFormatPr defaultRowHeight="14.5" x14ac:dyDescent="0.35"/>
  <cols>
    <col min="1" max="1" width="40" customWidth="1"/>
    <col min="2" max="4" width="12.6328125" customWidth="1"/>
    <col min="5" max="5" width="10" customWidth="1"/>
    <col min="6" max="6" width="12.6328125" customWidth="1"/>
    <col min="7" max="7" width="36.453125" customWidth="1"/>
    <col min="8" max="8" width="2.6328125" customWidth="1"/>
    <col min="9" max="9" width="40" customWidth="1"/>
    <col min="10" max="12" width="12.6328125" customWidth="1"/>
    <col min="13" max="13" width="10" customWidth="1"/>
    <col min="14" max="14" width="12.6328125" customWidth="1"/>
    <col min="15" max="15" width="36.453125" customWidth="1"/>
    <col min="16" max="16" width="32.6328125" customWidth="1"/>
    <col min="17" max="17" width="9.08984375" customWidth="1"/>
  </cols>
  <sheetData>
    <row r="1" spans="1:17" s="96" customFormat="1" ht="30" customHeight="1" x14ac:dyDescent="0.65">
      <c r="A1" s="258" t="str">
        <f>"WASTEWATER DATA - YEAR "&amp;'Units and Governance'!B14</f>
        <v>WASTEWATER DATA - YEAR 2010</v>
      </c>
      <c r="B1" s="258"/>
      <c r="C1" s="258"/>
      <c r="D1" s="258"/>
      <c r="E1" s="258"/>
      <c r="F1" s="258"/>
      <c r="G1" s="258"/>
      <c r="H1" s="149"/>
      <c r="I1" s="258" t="str">
        <f>"WASTEWATER DATA - YEAR "&amp;'Units and Governance'!B15</f>
        <v>WASTEWATER DATA - YEAR 2026</v>
      </c>
      <c r="J1" s="258"/>
      <c r="K1" s="258"/>
      <c r="L1" s="258"/>
      <c r="M1" s="258"/>
      <c r="N1" s="258"/>
      <c r="O1" s="258"/>
      <c r="P1" s="95"/>
      <c r="Q1" s="95"/>
    </row>
    <row r="2" spans="1:17" s="97" customFormat="1" ht="18.75" customHeight="1" x14ac:dyDescent="0.35">
      <c r="A2" s="269" t="s">
        <v>287</v>
      </c>
      <c r="B2" s="270"/>
      <c r="C2" s="270"/>
      <c r="D2" s="270"/>
      <c r="E2" s="270"/>
      <c r="F2" s="270"/>
      <c r="G2" s="270"/>
      <c r="H2" s="150"/>
      <c r="I2" s="152"/>
      <c r="J2" s="151"/>
      <c r="K2" s="151"/>
      <c r="L2" s="151"/>
      <c r="M2" s="151"/>
      <c r="N2" s="151"/>
      <c r="O2" s="151"/>
      <c r="P2"/>
    </row>
    <row r="3" spans="1:17" ht="24.9" customHeight="1" x14ac:dyDescent="0.4">
      <c r="A3" s="262" t="s">
        <v>288</v>
      </c>
      <c r="B3" s="262"/>
      <c r="C3" s="262"/>
      <c r="D3" s="262"/>
      <c r="E3" s="262"/>
      <c r="F3" s="262"/>
      <c r="G3" s="262"/>
      <c r="H3" s="150"/>
      <c r="I3" s="262" t="s">
        <v>288</v>
      </c>
      <c r="J3" s="262"/>
      <c r="K3" s="262"/>
      <c r="L3" s="262"/>
      <c r="M3" s="262"/>
      <c r="N3" s="262"/>
      <c r="O3" s="262"/>
    </row>
    <row r="4" spans="1:17" ht="21.9" customHeight="1" x14ac:dyDescent="0.35">
      <c r="A4" s="259" t="s">
        <v>213</v>
      </c>
      <c r="B4" s="259"/>
      <c r="C4" s="259"/>
      <c r="D4" s="259"/>
      <c r="E4" s="259"/>
      <c r="F4" s="259"/>
      <c r="G4" s="259"/>
      <c r="H4" s="150"/>
      <c r="I4" s="259" t="s">
        <v>213</v>
      </c>
      <c r="J4" s="259"/>
      <c r="K4" s="259"/>
      <c r="L4" s="259"/>
      <c r="M4" s="259"/>
      <c r="N4" s="259"/>
      <c r="O4" s="259"/>
    </row>
    <row r="5" spans="1:17" ht="20.149999999999999" customHeight="1" x14ac:dyDescent="0.35">
      <c r="A5" s="15" t="s">
        <v>92</v>
      </c>
      <c r="B5" s="15" t="s">
        <v>214</v>
      </c>
      <c r="C5" s="15" t="s">
        <v>215</v>
      </c>
      <c r="D5" s="15" t="s">
        <v>216</v>
      </c>
      <c r="E5" s="15"/>
      <c r="F5" s="15"/>
      <c r="G5" s="74" t="s">
        <v>217</v>
      </c>
      <c r="H5" s="150"/>
      <c r="I5" s="15" t="s">
        <v>92</v>
      </c>
      <c r="J5" s="15" t="s">
        <v>214</v>
      </c>
      <c r="K5" s="15" t="s">
        <v>215</v>
      </c>
      <c r="L5" s="15" t="s">
        <v>216</v>
      </c>
      <c r="M5" s="15"/>
      <c r="N5" s="15"/>
      <c r="O5" s="74" t="s">
        <v>217</v>
      </c>
    </row>
    <row r="6" spans="1:17" ht="20.149999999999999" customHeight="1" x14ac:dyDescent="0.35">
      <c r="A6" s="7" t="s">
        <v>289</v>
      </c>
      <c r="B6" s="240"/>
      <c r="C6" s="14" t="s">
        <v>146</v>
      </c>
      <c r="D6" s="7"/>
      <c r="E6" s="7"/>
      <c r="F6" s="7"/>
      <c r="G6" s="14" t="s">
        <v>219</v>
      </c>
      <c r="H6" s="150"/>
      <c r="I6" s="7" t="s">
        <v>289</v>
      </c>
      <c r="J6" s="240"/>
      <c r="K6" s="14" t="s">
        <v>146</v>
      </c>
      <c r="L6" s="7"/>
      <c r="M6" s="7"/>
      <c r="N6" s="7"/>
      <c r="O6" s="14" t="s">
        <v>219</v>
      </c>
    </row>
    <row r="7" spans="1:17" ht="20.149999999999999" customHeight="1" x14ac:dyDescent="0.35">
      <c r="A7" s="7" t="s">
        <v>290</v>
      </c>
      <c r="B7" s="240"/>
      <c r="C7" s="103" t="str">
        <f>'Units and Governance'!C40</f>
        <v>kg</v>
      </c>
      <c r="D7" s="185" t="str">
        <f>IF(B7&lt;&gt;"", B7*'Units and Governance'!D40, "")</f>
        <v/>
      </c>
      <c r="E7" s="7" t="str">
        <f>IF(B7="","",B7*'Units and Governance'!D40)</f>
        <v/>
      </c>
      <c r="F7" s="7"/>
      <c r="G7" s="14" t="s">
        <v>291</v>
      </c>
      <c r="H7" s="150"/>
      <c r="I7" s="7" t="s">
        <v>290</v>
      </c>
      <c r="J7" s="240"/>
      <c r="K7" s="103" t="str">
        <f>'Units and Governance'!C40</f>
        <v>kg</v>
      </c>
      <c r="L7" s="185" t="str">
        <f>IF(J7&lt;&gt;"", J7*'Units and Governance'!D40, "")</f>
        <v/>
      </c>
      <c r="M7" s="7" t="str">
        <f>IF(J7="","",J7*'Units and Governance'!D40)</f>
        <v/>
      </c>
      <c r="N7" s="7"/>
      <c r="O7" s="14" t="s">
        <v>291</v>
      </c>
    </row>
    <row r="8" spans="1:17" ht="20.149999999999999" customHeight="1" x14ac:dyDescent="0.35">
      <c r="A8" s="7"/>
      <c r="B8" s="7"/>
      <c r="C8" s="7"/>
      <c r="D8" s="7"/>
      <c r="E8" s="7"/>
      <c r="F8" s="7"/>
      <c r="G8" s="7"/>
      <c r="H8" s="150"/>
      <c r="I8" s="7"/>
      <c r="J8" s="7"/>
      <c r="K8" s="7"/>
      <c r="L8" s="7"/>
      <c r="M8" s="7"/>
      <c r="N8" s="7"/>
      <c r="O8" s="7"/>
    </row>
    <row r="9" spans="1:17" ht="20.149999999999999" customHeight="1" x14ac:dyDescent="0.35">
      <c r="A9" s="259" t="s">
        <v>292</v>
      </c>
      <c r="B9" s="259"/>
      <c r="C9" s="259"/>
      <c r="D9" s="259"/>
      <c r="E9" s="259"/>
      <c r="F9" s="259"/>
      <c r="G9" s="259"/>
      <c r="H9" s="150"/>
      <c r="I9" s="259" t="s">
        <v>292</v>
      </c>
      <c r="J9" s="259"/>
      <c r="K9" s="259"/>
      <c r="L9" s="259"/>
      <c r="M9" s="259"/>
      <c r="N9" s="259"/>
      <c r="O9" s="259"/>
    </row>
    <row r="10" spans="1:17" ht="20.149999999999999" customHeight="1" x14ac:dyDescent="0.35">
      <c r="A10" s="15" t="s">
        <v>230</v>
      </c>
      <c r="B10" s="15" t="s">
        <v>293</v>
      </c>
      <c r="C10" s="15" t="s">
        <v>294</v>
      </c>
      <c r="D10" s="15" t="s">
        <v>231</v>
      </c>
      <c r="E10" s="15" t="s">
        <v>215</v>
      </c>
      <c r="F10" s="15" t="s">
        <v>216</v>
      </c>
      <c r="G10" s="15" t="str">
        <f>"Cost ("&amp;'Units and Governance'!B5&amp;")"</f>
        <v>Cost (CAD)</v>
      </c>
      <c r="H10" s="150"/>
      <c r="I10" s="15" t="s">
        <v>230</v>
      </c>
      <c r="J10" s="15" t="s">
        <v>293</v>
      </c>
      <c r="K10" s="15" t="s">
        <v>294</v>
      </c>
      <c r="L10" s="15" t="s">
        <v>231</v>
      </c>
      <c r="M10" s="15" t="s">
        <v>215</v>
      </c>
      <c r="N10" s="15" t="s">
        <v>216</v>
      </c>
      <c r="O10" s="15" t="str">
        <f>"Cost ("&amp;'Units and Governance'!B5&amp;")"</f>
        <v>Cost (CAD)</v>
      </c>
    </row>
    <row r="11" spans="1:17" ht="20.149999999999999" customHeight="1" x14ac:dyDescent="0.35">
      <c r="A11" s="146"/>
      <c r="B11" s="146" t="s">
        <v>295</v>
      </c>
      <c r="C11" s="146" t="s">
        <v>296</v>
      </c>
      <c r="D11" s="146" t="s">
        <v>297</v>
      </c>
      <c r="E11" s="146"/>
      <c r="F11" s="146" t="s">
        <v>298</v>
      </c>
      <c r="G11" s="146" t="s">
        <v>298</v>
      </c>
      <c r="H11" s="150"/>
      <c r="I11" s="146"/>
      <c r="J11" s="146" t="s">
        <v>295</v>
      </c>
      <c r="K11" s="146" t="s">
        <v>296</v>
      </c>
      <c r="L11" s="146" t="s">
        <v>297</v>
      </c>
      <c r="M11" s="146"/>
      <c r="N11" s="146" t="s">
        <v>298</v>
      </c>
      <c r="O11" s="146" t="s">
        <v>298</v>
      </c>
    </row>
    <row r="12" spans="1:17" ht="20.149999999999999" customHeight="1" x14ac:dyDescent="0.35">
      <c r="A12" s="98" t="str">
        <f>'Units and Governance'!B19</f>
        <v>Lined hot cups</v>
      </c>
      <c r="B12" s="240"/>
      <c r="C12" s="240"/>
      <c r="D12" s="240"/>
      <c r="E12" s="103" t="str">
        <f>'Units and Governance'!C40</f>
        <v>kg</v>
      </c>
      <c r="F12" s="113" t="str">
        <f>IF(B12&lt;&gt;"", B12*C12/1000, IF(D12&lt;&gt;"", D12*'Units and Governance'!D40, ""))</f>
        <v/>
      </c>
      <c r="G12" s="114">
        <f t="shared" ref="G12:G22" si="0">IFERROR(IF(OR(F12="",F12=0,$B$32=0),0,IF(AND($D$7&lt;&gt;"",$D$7&gt;0),(F12/$D$7)*$B$32,IF($F$23&gt;0,(F12/$F$23)*$B$32,0))),0)</f>
        <v>0</v>
      </c>
      <c r="H12" s="150"/>
      <c r="I12" s="98" t="str">
        <f>'Units and Governance'!B19</f>
        <v>Lined hot cups</v>
      </c>
      <c r="J12" s="240"/>
      <c r="K12" s="240"/>
      <c r="L12" s="240"/>
      <c r="M12" s="103" t="str">
        <f>'Units and Governance'!C40</f>
        <v>kg</v>
      </c>
      <c r="N12" s="113" t="str">
        <f>IF(J12&lt;&gt;"", J12*K12/1000, IF(L12&lt;&gt;"", L12*'Units and Governance'!D40, ""))</f>
        <v/>
      </c>
      <c r="O12" s="114">
        <f t="shared" ref="O12:O22" si="1">IFERROR(IF(OR(N12="",N12=0,$J$32=0),0,IF(AND($L$7&lt;&gt;"",$L$7&gt;0),(N12/$L$7)*$J$32,IF($N$23&gt;0,(N12/$N$23)*$J$32,0))),0)</f>
        <v>0</v>
      </c>
    </row>
    <row r="13" spans="1:17" ht="20.149999999999999" customHeight="1" x14ac:dyDescent="0.35">
      <c r="A13" s="98" t="str">
        <f>'Units and Governance'!B20</f>
        <v>Plastic cold cups</v>
      </c>
      <c r="B13" s="240"/>
      <c r="C13" s="240"/>
      <c r="D13" s="240"/>
      <c r="E13" s="103" t="str">
        <f>'Units and Governance'!C40</f>
        <v>kg</v>
      </c>
      <c r="F13" s="113" t="str">
        <f>IF(B13&lt;&gt;"", B13*C13/1000, IF(D13&lt;&gt;"", D13*'Units and Governance'!D40, ""))</f>
        <v/>
      </c>
      <c r="G13" s="114">
        <f t="shared" si="0"/>
        <v>0</v>
      </c>
      <c r="H13" s="150"/>
      <c r="I13" s="98" t="str">
        <f>'Units and Governance'!B20</f>
        <v>Plastic cold cups</v>
      </c>
      <c r="J13" s="240"/>
      <c r="K13" s="240"/>
      <c r="L13" s="240"/>
      <c r="M13" s="103" t="str">
        <f>'Units and Governance'!C40</f>
        <v>kg</v>
      </c>
      <c r="N13" s="113" t="str">
        <f>IF(J13&lt;&gt;"", J13*K13/1000, IF(L13&lt;&gt;"", L13*'Units and Governance'!D40, ""))</f>
        <v/>
      </c>
      <c r="O13" s="114">
        <f t="shared" si="1"/>
        <v>0</v>
      </c>
    </row>
    <row r="14" spans="1:17" ht="20.149999999999999" customHeight="1" x14ac:dyDescent="0.35">
      <c r="A14" s="98" t="str">
        <f>'Units and Governance'!B21</f>
        <v>Cup lids</v>
      </c>
      <c r="B14" s="240"/>
      <c r="C14" s="240"/>
      <c r="D14" s="240"/>
      <c r="E14" s="103" t="str">
        <f>'Units and Governance'!C40</f>
        <v>kg</v>
      </c>
      <c r="F14" s="113" t="str">
        <f>IF(B14&lt;&gt;"", B14*C14/1000, IF(D14&lt;&gt;"", D14*'Units and Governance'!D40, ""))</f>
        <v/>
      </c>
      <c r="G14" s="114">
        <f t="shared" si="0"/>
        <v>0</v>
      </c>
      <c r="H14" s="150"/>
      <c r="I14" s="98" t="str">
        <f>'Units and Governance'!B21</f>
        <v>Cup lids</v>
      </c>
      <c r="J14" s="240"/>
      <c r="K14" s="240"/>
      <c r="L14" s="240"/>
      <c r="M14" s="103" t="str">
        <f>'Units and Governance'!C40</f>
        <v>kg</v>
      </c>
      <c r="N14" s="113" t="str">
        <f>IF(J14&lt;&gt;"", J14*K14/1000, IF(L14&lt;&gt;"", L14*'Units and Governance'!D40, ""))</f>
        <v/>
      </c>
      <c r="O14" s="114">
        <f t="shared" si="1"/>
        <v>0</v>
      </c>
    </row>
    <row r="15" spans="1:17" ht="20.149999999999999" customHeight="1" x14ac:dyDescent="0.35">
      <c r="A15" s="98" t="str">
        <f>'Units and Governance'!B22</f>
        <v>Vaping devices</v>
      </c>
      <c r="B15" s="240"/>
      <c r="C15" s="240"/>
      <c r="D15" s="240"/>
      <c r="E15" s="103" t="str">
        <f>'Units and Governance'!C40</f>
        <v>kg</v>
      </c>
      <c r="F15" s="113" t="str">
        <f>IF(B15&lt;&gt;"", B15*C15/1000, IF(D15&lt;&gt;"", D15*'Units and Governance'!D40, ""))</f>
        <v/>
      </c>
      <c r="G15" s="114">
        <f t="shared" si="0"/>
        <v>0</v>
      </c>
      <c r="H15" s="150"/>
      <c r="I15" s="98" t="str">
        <f>'Units and Governance'!B22</f>
        <v>Vaping devices</v>
      </c>
      <c r="J15" s="240"/>
      <c r="K15" s="240"/>
      <c r="L15" s="240"/>
      <c r="M15" s="103" t="str">
        <f>'Units and Governance'!C40</f>
        <v>kg</v>
      </c>
      <c r="N15" s="113" t="str">
        <f>IF(J15&lt;&gt;"", J15*K15/1000, IF(L15&lt;&gt;"", L15*'Units and Governance'!D40, ""))</f>
        <v/>
      </c>
      <c r="O15" s="114">
        <f t="shared" si="1"/>
        <v>0</v>
      </c>
    </row>
    <row r="16" spans="1:17" ht="20.149999999999999" customHeight="1" x14ac:dyDescent="0.35">
      <c r="A16" s="98" t="str">
        <f>'Units and Governance'!B23</f>
        <v>Bottle caps</v>
      </c>
      <c r="B16" s="240"/>
      <c r="C16" s="240"/>
      <c r="D16" s="240"/>
      <c r="E16" s="103" t="str">
        <f>'Units and Governance'!C40</f>
        <v>kg</v>
      </c>
      <c r="F16" s="113" t="str">
        <f>IF(B16&lt;&gt;"", B16*C16/1000, IF(D16&lt;&gt;"", D16*'Units and Governance'!D40, ""))</f>
        <v/>
      </c>
      <c r="G16" s="114">
        <f t="shared" si="0"/>
        <v>0</v>
      </c>
      <c r="H16" s="150"/>
      <c r="I16" s="98" t="str">
        <f>'Units and Governance'!B23</f>
        <v>Bottle caps</v>
      </c>
      <c r="J16" s="240"/>
      <c r="K16" s="240"/>
      <c r="L16" s="240"/>
      <c r="M16" s="103" t="str">
        <f>'Units and Governance'!C40</f>
        <v>kg</v>
      </c>
      <c r="N16" s="113" t="str">
        <f>IF(J16&lt;&gt;"", J16*K16/1000, IF(L16&lt;&gt;"", L16*'Units and Governance'!D40, ""))</f>
        <v/>
      </c>
      <c r="O16" s="114">
        <f t="shared" si="1"/>
        <v>0</v>
      </c>
    </row>
    <row r="17" spans="1:15" ht="20.149999999999999" customHeight="1" x14ac:dyDescent="0.35">
      <c r="A17" s="98" t="str">
        <f>'Units and Governance'!B24</f>
        <v>Plastic bottles</v>
      </c>
      <c r="B17" s="240"/>
      <c r="C17" s="240"/>
      <c r="D17" s="240"/>
      <c r="E17" s="103" t="str">
        <f>'Units and Governance'!C40</f>
        <v>kg</v>
      </c>
      <c r="F17" s="113" t="str">
        <f>IF(B17&lt;&gt;"", B17*C17/1000, IF(D17&lt;&gt;"", D17*'Units and Governance'!D40, ""))</f>
        <v/>
      </c>
      <c r="G17" s="114">
        <f t="shared" si="0"/>
        <v>0</v>
      </c>
      <c r="H17" s="150"/>
      <c r="I17" s="98" t="str">
        <f>'Units and Governance'!B24</f>
        <v>Plastic bottles</v>
      </c>
      <c r="J17" s="240"/>
      <c r="K17" s="240"/>
      <c r="L17" s="240"/>
      <c r="M17" s="103" t="str">
        <f>'Units and Governance'!C40</f>
        <v>kg</v>
      </c>
      <c r="N17" s="113" t="str">
        <f>IF(J17&lt;&gt;"", J17*K17/1000, IF(L17&lt;&gt;"", L17*'Units and Governance'!D40, ""))</f>
        <v/>
      </c>
      <c r="O17" s="114">
        <f t="shared" si="1"/>
        <v>0</v>
      </c>
    </row>
    <row r="18" spans="1:15" ht="20.149999999999999" customHeight="1" x14ac:dyDescent="0.35">
      <c r="A18" s="98" t="str">
        <f>'Units and Governance'!B25</f>
        <v>Foam trays</v>
      </c>
      <c r="B18" s="240"/>
      <c r="C18" s="240"/>
      <c r="D18" s="240"/>
      <c r="E18" s="103" t="str">
        <f>'Units and Governance'!C40</f>
        <v>kg</v>
      </c>
      <c r="F18" s="113" t="str">
        <f>IF(B18&lt;&gt;"", B18*C18/1000, IF(D18&lt;&gt;"", D18*'Units and Governance'!D40, ""))</f>
        <v/>
      </c>
      <c r="G18" s="114">
        <f t="shared" si="0"/>
        <v>0</v>
      </c>
      <c r="H18" s="150"/>
      <c r="I18" s="98" t="str">
        <f>'Units and Governance'!B25</f>
        <v>Foam trays</v>
      </c>
      <c r="J18" s="240"/>
      <c r="K18" s="240"/>
      <c r="L18" s="240"/>
      <c r="M18" s="103" t="str">
        <f>'Units and Governance'!C40</f>
        <v>kg</v>
      </c>
      <c r="N18" s="113" t="str">
        <f>IF(J18&lt;&gt;"", J18*K18/1000, IF(L18&lt;&gt;"", L18*'Units and Governance'!D40, ""))</f>
        <v/>
      </c>
      <c r="O18" s="114">
        <f t="shared" si="1"/>
        <v>0</v>
      </c>
    </row>
    <row r="19" spans="1:15" ht="20.149999999999999" customHeight="1" x14ac:dyDescent="0.35">
      <c r="A19" s="98" t="str">
        <f>'Units and Governance'!B26</f>
        <v>Tampon applicators</v>
      </c>
      <c r="B19" s="240"/>
      <c r="C19" s="240"/>
      <c r="D19" s="240"/>
      <c r="E19" s="103" t="str">
        <f>'Units and Governance'!C40</f>
        <v>kg</v>
      </c>
      <c r="F19" s="113" t="str">
        <f>IF(B19&lt;&gt;"", B19*C19/1000, IF(D19&lt;&gt;"", D19*'Units and Governance'!D40, ""))</f>
        <v/>
      </c>
      <c r="G19" s="114">
        <f t="shared" si="0"/>
        <v>0</v>
      </c>
      <c r="H19" s="150"/>
      <c r="I19" s="98" t="str">
        <f>'Units and Governance'!B26</f>
        <v>Tampon applicators</v>
      </c>
      <c r="J19" s="240"/>
      <c r="K19" s="240"/>
      <c r="L19" s="240"/>
      <c r="M19" s="103" t="str">
        <f>'Units and Governance'!C40</f>
        <v>kg</v>
      </c>
      <c r="N19" s="113" t="str">
        <f>IF(J19&lt;&gt;"", J19*K19/1000, IF(L19&lt;&gt;"", L19*'Units and Governance'!D40, ""))</f>
        <v/>
      </c>
      <c r="O19" s="114">
        <f t="shared" si="1"/>
        <v>0</v>
      </c>
    </row>
    <row r="20" spans="1:15" ht="20.149999999999999" customHeight="1" x14ac:dyDescent="0.35">
      <c r="A20" s="98" t="str">
        <f>'Units and Governance'!B27</f>
        <v>Other SUP 1</v>
      </c>
      <c r="B20" s="240"/>
      <c r="C20" s="240"/>
      <c r="D20" s="240"/>
      <c r="E20" s="103" t="str">
        <f>'Units and Governance'!C40</f>
        <v>kg</v>
      </c>
      <c r="F20" s="113" t="str">
        <f>IF(B20&lt;&gt;"", B20*C20/1000, IF(D20&lt;&gt;"", D20*'Units and Governance'!D40, ""))</f>
        <v/>
      </c>
      <c r="G20" s="114">
        <f t="shared" si="0"/>
        <v>0</v>
      </c>
      <c r="H20" s="150"/>
      <c r="I20" s="98" t="str">
        <f>'Units and Governance'!B27</f>
        <v>Other SUP 1</v>
      </c>
      <c r="J20" s="240"/>
      <c r="K20" s="240"/>
      <c r="L20" s="240"/>
      <c r="M20" s="103" t="str">
        <f>'Units and Governance'!C40</f>
        <v>kg</v>
      </c>
      <c r="N20" s="113" t="str">
        <f>IF(J20&lt;&gt;"", J20*K20/1000, IF(L20&lt;&gt;"", L20*'Units and Governance'!D40, ""))</f>
        <v/>
      </c>
      <c r="O20" s="114">
        <f t="shared" si="1"/>
        <v>0</v>
      </c>
    </row>
    <row r="21" spans="1:15" ht="20.149999999999999" customHeight="1" x14ac:dyDescent="0.35">
      <c r="A21" s="98" t="str">
        <f>'Units and Governance'!B28</f>
        <v>Other SUP 2</v>
      </c>
      <c r="B21" s="240"/>
      <c r="C21" s="240"/>
      <c r="D21" s="240"/>
      <c r="E21" s="103" t="str">
        <f>'Units and Governance'!C40</f>
        <v>kg</v>
      </c>
      <c r="F21" s="113" t="str">
        <f>IF(B21&lt;&gt;"", B21*C21/1000, IF(D21&lt;&gt;"", D21*'Units and Governance'!D40, ""))</f>
        <v/>
      </c>
      <c r="G21" s="114">
        <f t="shared" si="0"/>
        <v>0</v>
      </c>
      <c r="H21" s="150"/>
      <c r="I21" s="98" t="str">
        <f>'Units and Governance'!B28</f>
        <v>Other SUP 2</v>
      </c>
      <c r="J21" s="240"/>
      <c r="K21" s="240"/>
      <c r="L21" s="240"/>
      <c r="M21" s="103" t="str">
        <f>'Units and Governance'!C40</f>
        <v>kg</v>
      </c>
      <c r="N21" s="113" t="str">
        <f>IF(J21&lt;&gt;"", J21*K21/1000, IF(L21&lt;&gt;"", L21*'Units and Governance'!D40, ""))</f>
        <v/>
      </c>
      <c r="O21" s="114">
        <f t="shared" si="1"/>
        <v>0</v>
      </c>
    </row>
    <row r="22" spans="1:15" ht="20.149999999999999" customHeight="1" x14ac:dyDescent="0.35">
      <c r="A22" s="98" t="str">
        <f>'Units and Governance'!B29</f>
        <v>Other SUP 3</v>
      </c>
      <c r="B22" s="240"/>
      <c r="C22" s="240"/>
      <c r="D22" s="240"/>
      <c r="E22" s="103" t="str">
        <f>'Units and Governance'!C40</f>
        <v>kg</v>
      </c>
      <c r="F22" s="113" t="str">
        <f>IF(B22&lt;&gt;"", B22*C22/1000, IF(D22&lt;&gt;"", D22*'Units and Governance'!D40, ""))</f>
        <v/>
      </c>
      <c r="G22" s="114">
        <f t="shared" si="0"/>
        <v>0</v>
      </c>
      <c r="H22" s="150"/>
      <c r="I22" s="98" t="str">
        <f>'Units and Governance'!B29</f>
        <v>Other SUP 3</v>
      </c>
      <c r="J22" s="240"/>
      <c r="K22" s="240"/>
      <c r="L22" s="240"/>
      <c r="M22" s="103" t="str">
        <f>'Units and Governance'!C40</f>
        <v>kg</v>
      </c>
      <c r="N22" s="113" t="str">
        <f>IF(J22&lt;&gt;"", J22*K22/1000, IF(L22&lt;&gt;"", L22*'Units and Governance'!D40, ""))</f>
        <v/>
      </c>
      <c r="O22" s="114">
        <f t="shared" si="1"/>
        <v>0</v>
      </c>
    </row>
    <row r="23" spans="1:15" ht="20.149999999999999" customHeight="1" x14ac:dyDescent="0.35">
      <c r="A23" s="122" t="s">
        <v>233</v>
      </c>
      <c r="B23" s="122"/>
      <c r="C23" s="122"/>
      <c r="D23" s="122"/>
      <c r="E23" s="122" t="str">
        <f>'Units and Governance'!C40</f>
        <v>kg</v>
      </c>
      <c r="F23" s="147">
        <f>SUM(F12:F22)</f>
        <v>0</v>
      </c>
      <c r="G23" s="148">
        <f>IFERROR(SUM(G12:G22),"")</f>
        <v>0</v>
      </c>
      <c r="H23" s="150"/>
      <c r="I23" s="122" t="s">
        <v>233</v>
      </c>
      <c r="J23" s="122"/>
      <c r="K23" s="122"/>
      <c r="L23" s="122"/>
      <c r="M23" s="122" t="str">
        <f>'Units and Governance'!C40</f>
        <v>kg</v>
      </c>
      <c r="N23" s="147">
        <f>SUM(N12:N22)</f>
        <v>0</v>
      </c>
      <c r="O23" s="148">
        <f>IFERROR(SUM(O12:O22),"")</f>
        <v>0</v>
      </c>
    </row>
    <row r="24" spans="1:15" ht="20.149999999999999" customHeight="1" x14ac:dyDescent="0.35">
      <c r="A24" s="7"/>
      <c r="B24" s="7"/>
      <c r="C24" s="7"/>
      <c r="D24" s="7"/>
      <c r="E24" s="7"/>
      <c r="F24" s="7"/>
      <c r="G24" s="7"/>
      <c r="H24" s="150"/>
      <c r="I24" s="7"/>
      <c r="J24" s="7"/>
      <c r="K24" s="7"/>
      <c r="L24" s="7"/>
      <c r="M24" s="7"/>
      <c r="N24" s="7"/>
      <c r="O24" s="7"/>
    </row>
    <row r="25" spans="1:15" ht="20.149999999999999" customHeight="1" x14ac:dyDescent="0.35">
      <c r="A25" s="259" t="s">
        <v>235</v>
      </c>
      <c r="B25" s="259"/>
      <c r="C25" s="259"/>
      <c r="D25" s="259"/>
      <c r="E25" s="259"/>
      <c r="F25" s="259"/>
      <c r="G25" s="259"/>
      <c r="H25" s="150"/>
      <c r="I25" s="259" t="s">
        <v>235</v>
      </c>
      <c r="J25" s="259"/>
      <c r="K25" s="259"/>
      <c r="L25" s="259"/>
      <c r="M25" s="259"/>
      <c r="N25" s="259"/>
      <c r="O25" s="259"/>
    </row>
    <row r="26" spans="1:15" ht="20.149999999999999" customHeight="1" x14ac:dyDescent="0.35">
      <c r="A26" s="15" t="s">
        <v>236</v>
      </c>
      <c r="B26" s="15" t="s">
        <v>237</v>
      </c>
      <c r="C26" s="15"/>
      <c r="D26" s="15" t="s">
        <v>238</v>
      </c>
      <c r="E26" s="15" t="s">
        <v>239</v>
      </c>
      <c r="F26" s="15"/>
      <c r="G26" s="153" t="s">
        <v>240</v>
      </c>
      <c r="H26" s="150"/>
      <c r="I26" s="15" t="s">
        <v>236</v>
      </c>
      <c r="J26" s="15" t="s">
        <v>237</v>
      </c>
      <c r="K26" s="15"/>
      <c r="L26" s="15" t="s">
        <v>238</v>
      </c>
      <c r="M26" s="15" t="s">
        <v>239</v>
      </c>
      <c r="N26" s="15"/>
      <c r="O26" s="153" t="s">
        <v>240</v>
      </c>
    </row>
    <row r="27" spans="1:15" ht="20.149999999999999" customHeight="1" x14ac:dyDescent="0.35">
      <c r="A27" s="212" t="s">
        <v>299</v>
      </c>
      <c r="B27" s="240">
        <v>0</v>
      </c>
      <c r="C27" s="7"/>
      <c r="D27" s="103" t="str">
        <f>'Units and Governance'!B5</f>
        <v>CAD</v>
      </c>
      <c r="E27" s="103">
        <f>IF(B27="","",IF($B$32=0,0,B27/$B$32))</f>
        <v>0</v>
      </c>
      <c r="F27" s="7"/>
      <c r="G27" s="212" t="s">
        <v>300</v>
      </c>
      <c r="H27" s="150"/>
      <c r="I27" s="212" t="s">
        <v>299</v>
      </c>
      <c r="J27" s="240">
        <v>0</v>
      </c>
      <c r="K27" s="7"/>
      <c r="L27" s="103" t="str">
        <f>'Units and Governance'!B5</f>
        <v>CAD</v>
      </c>
      <c r="M27" s="103">
        <f>IF(J27="","",IF($J$32=0,0,J27/$J$32))</f>
        <v>0</v>
      </c>
      <c r="N27" s="7"/>
      <c r="O27" s="212" t="s">
        <v>300</v>
      </c>
    </row>
    <row r="28" spans="1:15" ht="20.149999999999999" customHeight="1" x14ac:dyDescent="0.35">
      <c r="A28" s="212" t="s">
        <v>301</v>
      </c>
      <c r="B28" s="240">
        <v>0</v>
      </c>
      <c r="C28" s="7"/>
      <c r="D28" s="103" t="str">
        <f>'Units and Governance'!B5</f>
        <v>CAD</v>
      </c>
      <c r="E28" s="103">
        <f>IF(B28="","",IF($B$32=0,0,B28/$B$32))</f>
        <v>0</v>
      </c>
      <c r="F28" s="7"/>
      <c r="G28" s="212" t="s">
        <v>302</v>
      </c>
      <c r="H28" s="150"/>
      <c r="I28" s="212" t="s">
        <v>301</v>
      </c>
      <c r="J28" s="240">
        <v>0</v>
      </c>
      <c r="K28" s="7"/>
      <c r="L28" s="103" t="str">
        <f>'Units and Governance'!B5</f>
        <v>CAD</v>
      </c>
      <c r="M28" s="103">
        <f>IF(J28="","",IF($J$32=0,0,J28/$J$32))</f>
        <v>0</v>
      </c>
      <c r="N28" s="7"/>
      <c r="O28" s="212" t="s">
        <v>302</v>
      </c>
    </row>
    <row r="29" spans="1:15" ht="20.149999999999999" customHeight="1" x14ac:dyDescent="0.35">
      <c r="A29" s="212" t="s">
        <v>303</v>
      </c>
      <c r="B29" s="240">
        <v>0</v>
      </c>
      <c r="C29" s="7"/>
      <c r="D29" s="103" t="str">
        <f>'Units and Governance'!B5</f>
        <v>CAD</v>
      </c>
      <c r="E29" s="103">
        <f>IF(B29="","",IF($B$32=0,0,B29/$B$32))</f>
        <v>0</v>
      </c>
      <c r="F29" s="7"/>
      <c r="G29" s="212" t="s">
        <v>304</v>
      </c>
      <c r="H29" s="150"/>
      <c r="I29" s="212" t="s">
        <v>303</v>
      </c>
      <c r="J29" s="240">
        <v>0</v>
      </c>
      <c r="K29" s="7"/>
      <c r="L29" s="103" t="str">
        <f>'Units and Governance'!B5</f>
        <v>CAD</v>
      </c>
      <c r="M29" s="103">
        <f>IF(J29="","",IF($J$32=0,0,J29/$J$32))</f>
        <v>0</v>
      </c>
      <c r="N29" s="7"/>
      <c r="O29" s="212" t="s">
        <v>304</v>
      </c>
    </row>
    <row r="30" spans="1:15" ht="20.149999999999999" customHeight="1" x14ac:dyDescent="0.35">
      <c r="A30" s="212" t="s">
        <v>248</v>
      </c>
      <c r="B30" s="240">
        <v>0</v>
      </c>
      <c r="C30" s="7"/>
      <c r="D30" s="103" t="str">
        <f>'Units and Governance'!B5</f>
        <v>CAD</v>
      </c>
      <c r="E30" s="103">
        <f>IF(B30="","",IF($B$32=0,0,B30/$B$32))</f>
        <v>0</v>
      </c>
      <c r="F30" s="7"/>
      <c r="G30" s="212" t="s">
        <v>249</v>
      </c>
      <c r="H30" s="150"/>
      <c r="I30" s="212" t="s">
        <v>248</v>
      </c>
      <c r="J30" s="240">
        <v>0</v>
      </c>
      <c r="K30" s="7"/>
      <c r="L30" s="103" t="str">
        <f>'Units and Governance'!B5</f>
        <v>CAD</v>
      </c>
      <c r="M30" s="103">
        <f>IF(J30="","",IF($J$32=0,0,J30/$J$32))</f>
        <v>0</v>
      </c>
      <c r="N30" s="7"/>
      <c r="O30" s="212" t="s">
        <v>249</v>
      </c>
    </row>
    <row r="31" spans="1:15" ht="20.149999999999999" customHeight="1" x14ac:dyDescent="0.35">
      <c r="A31" s="212" t="s">
        <v>250</v>
      </c>
      <c r="B31" s="240">
        <v>0</v>
      </c>
      <c r="C31" s="7"/>
      <c r="D31" s="103" t="str">
        <f>'Units and Governance'!B5</f>
        <v>CAD</v>
      </c>
      <c r="E31" s="103">
        <f>IF(B31="","",IF($B$32=0,0,B31/$B$32))</f>
        <v>0</v>
      </c>
      <c r="F31" s="7"/>
      <c r="G31" s="212" t="s">
        <v>249</v>
      </c>
      <c r="H31" s="150"/>
      <c r="I31" s="212" t="s">
        <v>250</v>
      </c>
      <c r="J31" s="240">
        <v>0</v>
      </c>
      <c r="K31" s="7"/>
      <c r="L31" s="103" t="str">
        <f>'Units and Governance'!B5</f>
        <v>CAD</v>
      </c>
      <c r="M31" s="103">
        <f>IF(J31="","",IF($J$32=0,0,J31/$J$32))</f>
        <v>0</v>
      </c>
      <c r="N31" s="7"/>
      <c r="O31" s="212" t="s">
        <v>249</v>
      </c>
    </row>
    <row r="32" spans="1:15" ht="20.149999999999999" customHeight="1" x14ac:dyDescent="0.35">
      <c r="A32" s="122" t="s">
        <v>305</v>
      </c>
      <c r="B32" s="184">
        <f>SUM(B27:B31)</f>
        <v>0</v>
      </c>
      <c r="C32" s="122"/>
      <c r="D32" s="105" t="str">
        <f>'Units and Governance'!B5</f>
        <v>CAD</v>
      </c>
      <c r="E32" s="125">
        <v>1</v>
      </c>
      <c r="F32" s="122"/>
      <c r="G32" s="122"/>
      <c r="H32" s="150"/>
      <c r="I32" s="122" t="s">
        <v>305</v>
      </c>
      <c r="J32" s="184">
        <f>SUM(J27:J31)</f>
        <v>0</v>
      </c>
      <c r="K32" s="122"/>
      <c r="L32" s="105" t="str">
        <f>'Units and Governance'!B5</f>
        <v>CAD</v>
      </c>
      <c r="M32" s="125">
        <v>1</v>
      </c>
      <c r="N32" s="122"/>
      <c r="O32" s="122"/>
    </row>
    <row r="33" spans="1:15" ht="20.149999999999999" customHeight="1" x14ac:dyDescent="0.35">
      <c r="A33" s="7"/>
      <c r="B33" s="7"/>
      <c r="C33" s="7"/>
      <c r="D33" s="7"/>
      <c r="E33" s="7"/>
      <c r="F33" s="7"/>
      <c r="G33" s="7"/>
      <c r="H33" s="150"/>
      <c r="I33" s="7"/>
      <c r="J33" s="7"/>
      <c r="K33" s="7"/>
      <c r="L33" s="7"/>
      <c r="M33" s="7"/>
      <c r="N33" s="7"/>
      <c r="O33" s="7"/>
    </row>
    <row r="34" spans="1:15" ht="20.149999999999999" customHeight="1" x14ac:dyDescent="0.35">
      <c r="A34" s="259" t="s">
        <v>253</v>
      </c>
      <c r="B34" s="259"/>
      <c r="C34" s="259"/>
      <c r="D34" s="259"/>
      <c r="E34" s="259"/>
      <c r="F34" s="259"/>
      <c r="G34" s="259"/>
      <c r="H34" s="150"/>
      <c r="I34" s="259" t="s">
        <v>253</v>
      </c>
      <c r="J34" s="259"/>
      <c r="K34" s="259"/>
      <c r="L34" s="259"/>
      <c r="M34" s="259"/>
      <c r="N34" s="259"/>
      <c r="O34" s="259"/>
    </row>
    <row r="35" spans="1:15" ht="20.149999999999999" customHeight="1" x14ac:dyDescent="0.35">
      <c r="A35" s="15" t="s">
        <v>254</v>
      </c>
      <c r="B35" s="15" t="s">
        <v>214</v>
      </c>
      <c r="C35" s="15"/>
      <c r="D35" s="15" t="s">
        <v>215</v>
      </c>
      <c r="E35" s="15"/>
      <c r="F35" s="15"/>
      <c r="G35" s="74" t="s">
        <v>217</v>
      </c>
      <c r="H35" s="150"/>
      <c r="I35" s="15" t="s">
        <v>254</v>
      </c>
      <c r="J35" s="15" t="s">
        <v>214</v>
      </c>
      <c r="K35" s="15"/>
      <c r="L35" s="15" t="s">
        <v>215</v>
      </c>
      <c r="M35" s="15"/>
      <c r="N35" s="15"/>
      <c r="O35" s="74" t="s">
        <v>217</v>
      </c>
    </row>
    <row r="36" spans="1:15" ht="20.149999999999999" customHeight="1" x14ac:dyDescent="0.35">
      <c r="A36" s="14" t="s">
        <v>256</v>
      </c>
      <c r="B36" s="100">
        <f>IF(B6&gt;0,F23/B6,0)</f>
        <v>0</v>
      </c>
      <c r="C36" s="103"/>
      <c r="D36" s="103" t="s">
        <v>257</v>
      </c>
      <c r="E36" s="7"/>
      <c r="F36" s="7"/>
      <c r="G36" s="14" t="s">
        <v>306</v>
      </c>
      <c r="H36" s="150"/>
      <c r="I36" s="14" t="s">
        <v>256</v>
      </c>
      <c r="J36" s="100">
        <f>IF(J6&gt;0,N23/J6,0)</f>
        <v>0</v>
      </c>
      <c r="K36" s="103"/>
      <c r="L36" s="103" t="s">
        <v>257</v>
      </c>
      <c r="M36" s="7"/>
      <c r="N36" s="7"/>
      <c r="O36" s="14" t="s">
        <v>306</v>
      </c>
    </row>
    <row r="37" spans="1:15" ht="20.149999999999999" customHeight="1" x14ac:dyDescent="0.35">
      <c r="A37" s="14" t="s">
        <v>307</v>
      </c>
      <c r="B37" s="185">
        <f>IF(B6&gt;0,B32/B6,0)</f>
        <v>0</v>
      </c>
      <c r="C37" s="103"/>
      <c r="D37" s="103" t="str">
        <f>'Units and Governance'!B5&amp;"/person"</f>
        <v>CAD/person</v>
      </c>
      <c r="E37" s="7"/>
      <c r="F37" s="7"/>
      <c r="G37" s="14" t="s">
        <v>308</v>
      </c>
      <c r="H37" s="150"/>
      <c r="I37" s="14" t="s">
        <v>307</v>
      </c>
      <c r="J37" s="185">
        <f>IF(J6&gt;0,J32/J6,0)</f>
        <v>0</v>
      </c>
      <c r="K37" s="103"/>
      <c r="L37" s="103" t="str">
        <f>'Units and Governance'!B5&amp;"/person"</f>
        <v>CAD/person</v>
      </c>
      <c r="M37" s="7"/>
      <c r="N37" s="7"/>
      <c r="O37" s="14" t="s">
        <v>308</v>
      </c>
    </row>
    <row r="38" spans="1:15" x14ac:dyDescent="0.35">
      <c r="A38" s="22"/>
      <c r="B38" s="22"/>
      <c r="C38" s="22"/>
      <c r="D38" s="22"/>
      <c r="E38" s="22"/>
      <c r="F38" s="22"/>
      <c r="G38" s="22"/>
      <c r="H38" s="22"/>
      <c r="I38" s="22"/>
      <c r="J38" s="22"/>
      <c r="K38" s="22"/>
      <c r="L38" s="22"/>
      <c r="M38" s="22"/>
      <c r="N38" s="22"/>
      <c r="O38" s="22"/>
    </row>
    <row r="39" spans="1:15" x14ac:dyDescent="0.35">
      <c r="A39" s="166" t="s">
        <v>207</v>
      </c>
    </row>
    <row r="40" spans="1:15" x14ac:dyDescent="0.35">
      <c r="A40" s="16" t="s">
        <v>111</v>
      </c>
      <c r="B40" t="s">
        <v>276</v>
      </c>
    </row>
    <row r="41" spans="1:15" x14ac:dyDescent="0.35">
      <c r="A41" s="104" t="s">
        <v>114</v>
      </c>
      <c r="B41" t="s">
        <v>209</v>
      </c>
    </row>
    <row r="42" spans="1:15" x14ac:dyDescent="0.35">
      <c r="A42" s="9" t="s">
        <v>117</v>
      </c>
      <c r="B42" t="s">
        <v>277</v>
      </c>
    </row>
    <row r="44" spans="1:15" x14ac:dyDescent="0.35">
      <c r="A44" s="275" t="s">
        <v>286</v>
      </c>
      <c r="B44" s="276"/>
      <c r="C44" s="276"/>
      <c r="D44" s="276"/>
      <c r="E44" s="276"/>
      <c r="F44" s="276"/>
      <c r="G44" s="276"/>
      <c r="H44" s="95"/>
      <c r="I44" s="173"/>
      <c r="J44" s="173"/>
      <c r="K44" s="173"/>
      <c r="L44" s="173"/>
      <c r="M44" s="173"/>
      <c r="N44" s="173"/>
      <c r="O44" s="173"/>
    </row>
    <row r="45" spans="1:15" s="197" customFormat="1" x14ac:dyDescent="0.35">
      <c r="A45" s="203" t="str">
        <f>"SUP Weight: Year "&amp;'Units and Governance'!B14&amp;" vs Year "&amp;'Units and Governance'!B15&amp;" (kg)"</f>
        <v>SUP Weight: Year 2010 vs Year 2026 (kg)</v>
      </c>
      <c r="I45" s="203" t="str">
        <f>"SUP Cost: Year "&amp;'Units and Governance'!B14&amp;" vs Year "&amp;'Units and Governance'!B15&amp;" ("&amp;'Units and Governance'!B5&amp;")"</f>
        <v>SUP Cost: Year 2010 vs Year 2026 (CAD)</v>
      </c>
    </row>
  </sheetData>
  <sheetProtection sheet="1" objects="1" scenarios="1"/>
  <mergeCells count="14">
    <mergeCell ref="A44:G44"/>
    <mergeCell ref="A9:G9"/>
    <mergeCell ref="I9:O9"/>
    <mergeCell ref="A25:G25"/>
    <mergeCell ref="I25:O25"/>
    <mergeCell ref="A34:G34"/>
    <mergeCell ref="I34:O34"/>
    <mergeCell ref="I1:O1"/>
    <mergeCell ref="A3:G3"/>
    <mergeCell ref="I3:O3"/>
    <mergeCell ref="A4:G4"/>
    <mergeCell ref="I4:O4"/>
    <mergeCell ref="A1:G1"/>
    <mergeCell ref="A2:G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0E9A8-5ACC-4C2F-9514-0E581F996E4A}">
  <dimension ref="A1:AW165"/>
  <sheetViews>
    <sheetView showGridLines="0" topLeftCell="A12" zoomScale="58" zoomScaleNormal="85" workbookViewId="0">
      <selection activeCell="B25" sqref="B25:F25"/>
    </sheetView>
  </sheetViews>
  <sheetFormatPr defaultRowHeight="14.5" x14ac:dyDescent="0.35"/>
  <cols>
    <col min="1" max="1" width="34.54296875" customWidth="1"/>
    <col min="2" max="5" width="15.453125" customWidth="1"/>
    <col min="6" max="6" width="15.453125" style="1" customWidth="1"/>
    <col min="7" max="8" width="12.6328125" customWidth="1"/>
    <col min="9" max="9" width="1.90625" customWidth="1"/>
    <col min="10" max="14" width="15.453125" customWidth="1"/>
    <col min="15" max="16" width="12.6328125" style="6" customWidth="1"/>
    <col min="17" max="17" width="21.90625" customWidth="1"/>
    <col min="18" max="18" width="18.08984375" hidden="1" customWidth="1"/>
    <col min="19" max="20" width="14.54296875" hidden="1" customWidth="1"/>
    <col min="21" max="49" width="0" hidden="1" customWidth="1"/>
  </cols>
  <sheetData>
    <row r="1" spans="1:39" s="4" customFormat="1" ht="27.9" customHeight="1" x14ac:dyDescent="0.65">
      <c r="A1" s="280" t="str">
        <f>"SUMMARY - Single-Use Plastic Waste Analysis"</f>
        <v>SUMMARY - Single-Use Plastic Waste Analysis</v>
      </c>
      <c r="B1" s="280"/>
      <c r="C1" s="280"/>
      <c r="D1" s="280"/>
      <c r="E1" s="280"/>
      <c r="F1" s="280"/>
      <c r="G1" s="280"/>
      <c r="H1" s="280"/>
      <c r="I1" s="280"/>
      <c r="J1" s="280"/>
      <c r="K1" s="280"/>
      <c r="L1" s="280"/>
      <c r="M1" s="280"/>
      <c r="N1" s="280"/>
      <c r="O1" s="280"/>
      <c r="P1" s="280"/>
      <c r="Q1"/>
      <c r="R1"/>
      <c r="S1"/>
      <c r="T1"/>
      <c r="U1"/>
      <c r="V1"/>
      <c r="W1"/>
      <c r="X1"/>
      <c r="Y1"/>
      <c r="Z1"/>
      <c r="AA1"/>
      <c r="AB1"/>
      <c r="AC1"/>
      <c r="AD1"/>
      <c r="AE1"/>
      <c r="AF1"/>
      <c r="AG1"/>
      <c r="AH1"/>
      <c r="AI1"/>
      <c r="AJ1"/>
      <c r="AK1"/>
      <c r="AL1"/>
      <c r="AM1"/>
    </row>
    <row r="2" spans="1:39" ht="18" customHeight="1" x14ac:dyDescent="0.35">
      <c r="A2" s="281" t="s">
        <v>309</v>
      </c>
      <c r="B2" s="282"/>
      <c r="C2" s="282"/>
      <c r="D2" s="282"/>
      <c r="E2" s="282"/>
      <c r="F2" s="282"/>
      <c r="G2" s="282"/>
      <c r="H2" s="282"/>
      <c r="I2" s="22"/>
      <c r="J2" s="73"/>
      <c r="K2" s="73"/>
      <c r="L2" s="73"/>
      <c r="M2" s="73"/>
      <c r="N2" s="73"/>
      <c r="O2" s="73"/>
      <c r="P2" s="73"/>
    </row>
    <row r="3" spans="1:39" ht="18" customHeight="1" x14ac:dyDescent="0.35">
      <c r="A3" s="73" t="s">
        <v>310</v>
      </c>
      <c r="B3" s="118">
        <f>'Units and Governance'!B8</f>
        <v>0</v>
      </c>
      <c r="C3" s="73"/>
      <c r="D3" s="73" t="s">
        <v>311</v>
      </c>
      <c r="E3" s="118" t="str">
        <f>'Units and Governance'!B5</f>
        <v>CAD</v>
      </c>
      <c r="F3" s="73"/>
      <c r="G3" s="73"/>
      <c r="H3" s="73"/>
      <c r="I3" s="22"/>
      <c r="J3" s="73"/>
      <c r="K3" s="73"/>
      <c r="L3" s="73"/>
      <c r="M3" s="73"/>
      <c r="N3" s="73"/>
      <c r="O3" s="73"/>
      <c r="P3" s="73"/>
    </row>
    <row r="4" spans="1:39" ht="21.9" customHeight="1" x14ac:dyDescent="0.35">
      <c r="A4" s="249" t="str">
        <f>"SUP WEIGHT BY STREAM (kg) - YEAR "&amp;'Units and Governance'!B14</f>
        <v>SUP WEIGHT BY STREAM (kg) - YEAR 2010</v>
      </c>
      <c r="B4" s="279"/>
      <c r="C4" s="279"/>
      <c r="D4" s="279"/>
      <c r="E4" s="279"/>
      <c r="F4" s="279"/>
      <c r="G4" s="279"/>
      <c r="H4" s="279"/>
      <c r="I4" s="120"/>
      <c r="J4" s="249" t="str">
        <f>"SUP WEIGHT BY STREAM (kg) - YEAR "&amp;'Units and Governance'!B15</f>
        <v>SUP WEIGHT BY STREAM (kg) - YEAR 2026</v>
      </c>
      <c r="K4" s="279"/>
      <c r="L4" s="279"/>
      <c r="M4" s="279"/>
      <c r="N4" s="279"/>
      <c r="O4" s="279"/>
      <c r="P4" s="279"/>
    </row>
    <row r="5" spans="1:39" ht="18" customHeight="1" x14ac:dyDescent="0.35">
      <c r="A5" s="59" t="s">
        <v>230</v>
      </c>
      <c r="B5" s="59" t="s">
        <v>312</v>
      </c>
      <c r="C5" s="59" t="s">
        <v>313</v>
      </c>
      <c r="D5" s="59" t="s">
        <v>314</v>
      </c>
      <c r="E5" s="59" t="s">
        <v>315</v>
      </c>
      <c r="F5" s="59" t="s">
        <v>184</v>
      </c>
      <c r="G5" s="59" t="s">
        <v>316</v>
      </c>
      <c r="H5" s="59" t="s">
        <v>317</v>
      </c>
      <c r="I5" s="120"/>
      <c r="J5" s="59" t="s">
        <v>312</v>
      </c>
      <c r="K5" s="59" t="s">
        <v>313</v>
      </c>
      <c r="L5" s="59" t="s">
        <v>314</v>
      </c>
      <c r="M5" s="59" t="s">
        <v>315</v>
      </c>
      <c r="N5" s="59" t="s">
        <v>184</v>
      </c>
      <c r="O5" s="59" t="s">
        <v>316</v>
      </c>
      <c r="P5" s="59" t="s">
        <v>317</v>
      </c>
      <c r="R5" t="s">
        <v>230</v>
      </c>
      <c r="S5" t="s">
        <v>318</v>
      </c>
      <c r="T5" t="s">
        <v>319</v>
      </c>
      <c r="U5" t="s">
        <v>320</v>
      </c>
      <c r="V5" t="s">
        <v>321</v>
      </c>
      <c r="W5" t="s">
        <v>322</v>
      </c>
    </row>
    <row r="6" spans="1:39" ht="18" customHeight="1" x14ac:dyDescent="0.35">
      <c r="A6" s="118" t="str">
        <f>'Units and Governance'!B19</f>
        <v>Lined hot cups</v>
      </c>
      <c r="B6" s="170">
        <f>IF(Residential!D15="",0,Residential!D15)</f>
        <v>0</v>
      </c>
      <c r="C6" s="170">
        <f>IF(Residential!D56="",0,Residential!D56)</f>
        <v>0</v>
      </c>
      <c r="D6" s="170">
        <f>IF(Commercial!D14="",0,Commercial!D14)</f>
        <v>0</v>
      </c>
      <c r="E6" s="170">
        <f>IF(Commercial!D54="",0,Commercial!D54)</f>
        <v>0</v>
      </c>
      <c r="F6" s="170">
        <f>IF(Wastewater!F12="",0,Wastewater!F12)</f>
        <v>0</v>
      </c>
      <c r="G6" s="170">
        <f t="shared" ref="G6:G16" si="0">SUM(B6:F6)</f>
        <v>0</v>
      </c>
      <c r="H6" s="170" t="str">
        <f t="shared" ref="H6:H18" si="1">IFERROR(G6/$B$3,"")</f>
        <v/>
      </c>
      <c r="I6" s="120"/>
      <c r="J6" s="170">
        <f>IF(Residential!K15="",0,Residential!K15)</f>
        <v>0</v>
      </c>
      <c r="K6" s="170">
        <f>IF(Residential!K56="",0,Residential!K56)</f>
        <v>0</v>
      </c>
      <c r="L6" s="170">
        <f>IF(Commercial!K14="",0,Commercial!K14)</f>
        <v>0</v>
      </c>
      <c r="M6" s="170">
        <f>IF(Commercial!K54="",0,Commercial!K54)</f>
        <v>0</v>
      </c>
      <c r="N6" s="170">
        <f>IF(Wastewater!N12="",0,Wastewater!N12)</f>
        <v>0</v>
      </c>
      <c r="O6" s="170">
        <f t="shared" ref="O6:O16" si="2">SUM(J6:N6)</f>
        <v>0</v>
      </c>
      <c r="P6" s="170" t="str">
        <f t="shared" ref="P6:P18" si="3">IFERROR(O6/$B$3,"")</f>
        <v/>
      </c>
      <c r="R6" t="str">
        <f t="shared" ref="R6:R16" si="4">A6</f>
        <v>Lined hot cups</v>
      </c>
      <c r="S6" s="181">
        <f t="shared" ref="S6:S16" si="5">IF($B$3&gt;0,B6/$B$3,0)</f>
        <v>0</v>
      </c>
      <c r="T6" s="181">
        <f t="shared" ref="T6:T16" si="6">IF($B$3&gt;0,C6/$B$3,0)</f>
        <v>0</v>
      </c>
      <c r="U6" s="181">
        <f t="shared" ref="U6:U16" si="7">IF($B$3&gt;0,D6/$B$3,0)</f>
        <v>0</v>
      </c>
      <c r="V6" s="181">
        <f t="shared" ref="V6:V16" si="8">IF($B$3&gt;0,E6/$B$3,0)</f>
        <v>0</v>
      </c>
      <c r="W6" s="181">
        <f t="shared" ref="W6:W16" si="9">IF($B$3&gt;0,F6/$B$3,0)</f>
        <v>0</v>
      </c>
    </row>
    <row r="7" spans="1:39" ht="18" customHeight="1" x14ac:dyDescent="0.35">
      <c r="A7" s="118" t="str">
        <f>'Units and Governance'!B20</f>
        <v>Plastic cold cups</v>
      </c>
      <c r="B7" s="170">
        <f>IF(Residential!D16="",0,Residential!D16)</f>
        <v>0</v>
      </c>
      <c r="C7" s="170">
        <f>IF(Residential!D57="",0,Residential!D57)</f>
        <v>0</v>
      </c>
      <c r="D7" s="170">
        <f>IF(Commercial!D15="",0,Commercial!D15)</f>
        <v>0</v>
      </c>
      <c r="E7" s="170">
        <f>IF(Commercial!D55="",0,Commercial!D55)</f>
        <v>0</v>
      </c>
      <c r="F7" s="170">
        <f>IF(Wastewater!F13="",0,Wastewater!F13)</f>
        <v>0</v>
      </c>
      <c r="G7" s="170">
        <f t="shared" si="0"/>
        <v>0</v>
      </c>
      <c r="H7" s="170" t="str">
        <f t="shared" si="1"/>
        <v/>
      </c>
      <c r="I7" s="120"/>
      <c r="J7" s="170">
        <f>IF(Residential!K16="",0,Residential!K16)</f>
        <v>0</v>
      </c>
      <c r="K7" s="170">
        <f>IF(Residential!K57="",0,Residential!K57)</f>
        <v>0</v>
      </c>
      <c r="L7" s="170">
        <f>IF(Commercial!K15="",0,Commercial!K15)</f>
        <v>0</v>
      </c>
      <c r="M7" s="170">
        <f>IF(Commercial!K55="",0,Commercial!K55)</f>
        <v>0</v>
      </c>
      <c r="N7" s="170">
        <f>IF(Wastewater!N13="",0,Wastewater!N13)</f>
        <v>0</v>
      </c>
      <c r="O7" s="170">
        <f t="shared" si="2"/>
        <v>0</v>
      </c>
      <c r="P7" s="170" t="str">
        <f t="shared" si="3"/>
        <v/>
      </c>
      <c r="R7" t="str">
        <f t="shared" si="4"/>
        <v>Plastic cold cups</v>
      </c>
      <c r="S7" s="181">
        <f t="shared" si="5"/>
        <v>0</v>
      </c>
      <c r="T7" s="181">
        <f t="shared" si="6"/>
        <v>0</v>
      </c>
      <c r="U7" s="181">
        <f t="shared" si="7"/>
        <v>0</v>
      </c>
      <c r="V7" s="181">
        <f t="shared" si="8"/>
        <v>0</v>
      </c>
      <c r="W7" s="181">
        <f t="shared" si="9"/>
        <v>0</v>
      </c>
    </row>
    <row r="8" spans="1:39" ht="18" customHeight="1" x14ac:dyDescent="0.35">
      <c r="A8" s="118" t="str">
        <f>'Units and Governance'!B21</f>
        <v>Cup lids</v>
      </c>
      <c r="B8" s="170">
        <f>IF(Residential!D17="",0,Residential!D17)</f>
        <v>0</v>
      </c>
      <c r="C8" s="170">
        <f>IF(Residential!D58="",0,Residential!D58)</f>
        <v>0</v>
      </c>
      <c r="D8" s="170">
        <f>IF(Commercial!D16="",0,Commercial!D16)</f>
        <v>0</v>
      </c>
      <c r="E8" s="170">
        <f>IF(Commercial!D56="",0,Commercial!D56)</f>
        <v>0</v>
      </c>
      <c r="F8" s="170">
        <f>IF(Wastewater!F14="",0,Wastewater!F14)</f>
        <v>0</v>
      </c>
      <c r="G8" s="170">
        <f t="shared" si="0"/>
        <v>0</v>
      </c>
      <c r="H8" s="170" t="str">
        <f t="shared" si="1"/>
        <v/>
      </c>
      <c r="I8" s="120"/>
      <c r="J8" s="170">
        <f>IF(Residential!K17="",0,Residential!K17)</f>
        <v>0</v>
      </c>
      <c r="K8" s="170">
        <f>IF(Residential!K58="",0,Residential!K58)</f>
        <v>0</v>
      </c>
      <c r="L8" s="170">
        <f>IF(Commercial!K16="",0,Commercial!K16)</f>
        <v>0</v>
      </c>
      <c r="M8" s="170">
        <f>IF(Commercial!K56="",0,Commercial!K56)</f>
        <v>0</v>
      </c>
      <c r="N8" s="170">
        <f>IF(Wastewater!N14="",0,Wastewater!N14)</f>
        <v>0</v>
      </c>
      <c r="O8" s="170">
        <f t="shared" si="2"/>
        <v>0</v>
      </c>
      <c r="P8" s="170" t="str">
        <f t="shared" si="3"/>
        <v/>
      </c>
      <c r="R8" t="str">
        <f t="shared" si="4"/>
        <v>Cup lids</v>
      </c>
      <c r="S8" s="181">
        <f t="shared" si="5"/>
        <v>0</v>
      </c>
      <c r="T8" s="181">
        <f t="shared" si="6"/>
        <v>0</v>
      </c>
      <c r="U8" s="181">
        <f t="shared" si="7"/>
        <v>0</v>
      </c>
      <c r="V8" s="181">
        <f t="shared" si="8"/>
        <v>0</v>
      </c>
      <c r="W8" s="181">
        <f t="shared" si="9"/>
        <v>0</v>
      </c>
    </row>
    <row r="9" spans="1:39" ht="18" customHeight="1" x14ac:dyDescent="0.35">
      <c r="A9" s="118" t="str">
        <f>'Units and Governance'!B22</f>
        <v>Vaping devices</v>
      </c>
      <c r="B9" s="170">
        <f>IF(Residential!D18="",0,Residential!D18)</f>
        <v>0</v>
      </c>
      <c r="C9" s="170">
        <f>IF(Residential!D59="",0,Residential!D59)</f>
        <v>0</v>
      </c>
      <c r="D9" s="170">
        <f>IF(Commercial!D17="",0,Commercial!D17)</f>
        <v>0</v>
      </c>
      <c r="E9" s="170">
        <f>IF(Commercial!D57="",0,Commercial!D57)</f>
        <v>0</v>
      </c>
      <c r="F9" s="170">
        <f>IF(Wastewater!F15="",0,Wastewater!F15)</f>
        <v>0</v>
      </c>
      <c r="G9" s="170">
        <f t="shared" si="0"/>
        <v>0</v>
      </c>
      <c r="H9" s="170" t="str">
        <f t="shared" si="1"/>
        <v/>
      </c>
      <c r="I9" s="120"/>
      <c r="J9" s="170">
        <f>IF(Residential!K18="",0,Residential!K18)</f>
        <v>0</v>
      </c>
      <c r="K9" s="170">
        <f>IF(Residential!K59="",0,Residential!K59)</f>
        <v>0</v>
      </c>
      <c r="L9" s="170">
        <f>IF(Commercial!K17="",0,Commercial!K17)</f>
        <v>0</v>
      </c>
      <c r="M9" s="170">
        <f>IF(Commercial!K57="",0,Commercial!K57)</f>
        <v>0</v>
      </c>
      <c r="N9" s="170">
        <f>IF(Wastewater!N15="",0,Wastewater!N15)</f>
        <v>0</v>
      </c>
      <c r="O9" s="170">
        <f t="shared" si="2"/>
        <v>0</v>
      </c>
      <c r="P9" s="170" t="str">
        <f t="shared" si="3"/>
        <v/>
      </c>
      <c r="R9" t="str">
        <f t="shared" si="4"/>
        <v>Vaping devices</v>
      </c>
      <c r="S9" s="181">
        <f t="shared" si="5"/>
        <v>0</v>
      </c>
      <c r="T9" s="181">
        <f t="shared" si="6"/>
        <v>0</v>
      </c>
      <c r="U9" s="181">
        <f t="shared" si="7"/>
        <v>0</v>
      </c>
      <c r="V9" s="181">
        <f t="shared" si="8"/>
        <v>0</v>
      </c>
      <c r="W9" s="181">
        <f t="shared" si="9"/>
        <v>0</v>
      </c>
    </row>
    <row r="10" spans="1:39" ht="18" customHeight="1" x14ac:dyDescent="0.35">
      <c r="A10" s="118" t="str">
        <f>'Units and Governance'!B23</f>
        <v>Bottle caps</v>
      </c>
      <c r="B10" s="170">
        <f>IF(Residential!D19="",0,Residential!D19)</f>
        <v>0</v>
      </c>
      <c r="C10" s="170">
        <f>IF(Residential!D60="",0,Residential!D60)</f>
        <v>0</v>
      </c>
      <c r="D10" s="170">
        <f>IF(Commercial!D18="",0,Commercial!D18)</f>
        <v>0</v>
      </c>
      <c r="E10" s="170">
        <f>IF(Commercial!D58="",0,Commercial!D58)</f>
        <v>0</v>
      </c>
      <c r="F10" s="170">
        <f>IF(Wastewater!F16="",0,Wastewater!F16)</f>
        <v>0</v>
      </c>
      <c r="G10" s="170">
        <f t="shared" si="0"/>
        <v>0</v>
      </c>
      <c r="H10" s="170" t="str">
        <f t="shared" si="1"/>
        <v/>
      </c>
      <c r="I10" s="120"/>
      <c r="J10" s="170">
        <f>IF(Residential!K19="",0,Residential!K19)</f>
        <v>0</v>
      </c>
      <c r="K10" s="170">
        <f>IF(Residential!K60="",0,Residential!K60)</f>
        <v>0</v>
      </c>
      <c r="L10" s="170">
        <f>IF(Commercial!K18="",0,Commercial!K18)</f>
        <v>0</v>
      </c>
      <c r="M10" s="170">
        <f>IF(Commercial!K58="",0,Commercial!K58)</f>
        <v>0</v>
      </c>
      <c r="N10" s="170">
        <f>IF(Wastewater!N16="",0,Wastewater!N16)</f>
        <v>0</v>
      </c>
      <c r="O10" s="170">
        <f t="shared" si="2"/>
        <v>0</v>
      </c>
      <c r="P10" s="170" t="str">
        <f t="shared" si="3"/>
        <v/>
      </c>
      <c r="R10" t="str">
        <f t="shared" si="4"/>
        <v>Bottle caps</v>
      </c>
      <c r="S10" s="181">
        <f t="shared" si="5"/>
        <v>0</v>
      </c>
      <c r="T10" s="181">
        <f t="shared" si="6"/>
        <v>0</v>
      </c>
      <c r="U10" s="181">
        <f t="shared" si="7"/>
        <v>0</v>
      </c>
      <c r="V10" s="181">
        <f t="shared" si="8"/>
        <v>0</v>
      </c>
      <c r="W10" s="181">
        <f t="shared" si="9"/>
        <v>0</v>
      </c>
    </row>
    <row r="11" spans="1:39" ht="18" customHeight="1" x14ac:dyDescent="0.35">
      <c r="A11" s="118" t="str">
        <f>'Units and Governance'!B24</f>
        <v>Plastic bottles</v>
      </c>
      <c r="B11" s="170">
        <f>IF(Residential!D20="",0,Residential!D20)</f>
        <v>0</v>
      </c>
      <c r="C11" s="170">
        <f>IF(Residential!D61="",0,Residential!D61)</f>
        <v>0</v>
      </c>
      <c r="D11" s="170">
        <f>IF(Commercial!D19="",0,Commercial!D19)</f>
        <v>0</v>
      </c>
      <c r="E11" s="170">
        <f>IF(Commercial!D59="",0,Commercial!D59)</f>
        <v>0</v>
      </c>
      <c r="F11" s="170">
        <f>IF(Wastewater!F17="",0,Wastewater!F17)</f>
        <v>0</v>
      </c>
      <c r="G11" s="170">
        <f t="shared" si="0"/>
        <v>0</v>
      </c>
      <c r="H11" s="170" t="str">
        <f t="shared" si="1"/>
        <v/>
      </c>
      <c r="I11" s="120"/>
      <c r="J11" s="170">
        <f>IF(Residential!K20="",0,Residential!K20)</f>
        <v>0</v>
      </c>
      <c r="K11" s="170">
        <f>IF(Residential!K61="",0,Residential!K61)</f>
        <v>0</v>
      </c>
      <c r="L11" s="170">
        <f>IF(Commercial!K19="",0,Commercial!K19)</f>
        <v>0</v>
      </c>
      <c r="M11" s="170">
        <f>IF(Commercial!K59="",0,Commercial!K59)</f>
        <v>0</v>
      </c>
      <c r="N11" s="170">
        <f>IF(Wastewater!N17="",0,Wastewater!N17)</f>
        <v>0</v>
      </c>
      <c r="O11" s="170">
        <f t="shared" si="2"/>
        <v>0</v>
      </c>
      <c r="P11" s="170" t="str">
        <f t="shared" si="3"/>
        <v/>
      </c>
      <c r="R11" t="str">
        <f t="shared" si="4"/>
        <v>Plastic bottles</v>
      </c>
      <c r="S11" s="181">
        <f t="shared" si="5"/>
        <v>0</v>
      </c>
      <c r="T11" s="181">
        <f t="shared" si="6"/>
        <v>0</v>
      </c>
      <c r="U11" s="181">
        <f t="shared" si="7"/>
        <v>0</v>
      </c>
      <c r="V11" s="181">
        <f t="shared" si="8"/>
        <v>0</v>
      </c>
      <c r="W11" s="181">
        <f t="shared" si="9"/>
        <v>0</v>
      </c>
    </row>
    <row r="12" spans="1:39" ht="18" customHeight="1" x14ac:dyDescent="0.35">
      <c r="A12" s="118" t="str">
        <f>'Units and Governance'!B25</f>
        <v>Foam trays</v>
      </c>
      <c r="B12" s="170">
        <f>IF(Residential!D21="",0,Residential!D21)</f>
        <v>0</v>
      </c>
      <c r="C12" s="170">
        <f>IF(Residential!D62="",0,Residential!D62)</f>
        <v>0</v>
      </c>
      <c r="D12" s="170">
        <f>IF(Commercial!D20="",0,Commercial!D20)</f>
        <v>0</v>
      </c>
      <c r="E12" s="170">
        <f>IF(Commercial!D60="",0,Commercial!D60)</f>
        <v>0</v>
      </c>
      <c r="F12" s="170">
        <f>IF(Wastewater!F18="",0,Wastewater!F18)</f>
        <v>0</v>
      </c>
      <c r="G12" s="170">
        <f t="shared" si="0"/>
        <v>0</v>
      </c>
      <c r="H12" s="170" t="str">
        <f t="shared" si="1"/>
        <v/>
      </c>
      <c r="I12" s="120"/>
      <c r="J12" s="170">
        <f>IF(Residential!K21="",0,Residential!K21)</f>
        <v>0</v>
      </c>
      <c r="K12" s="170">
        <f>IF(Residential!K62="",0,Residential!K62)</f>
        <v>0</v>
      </c>
      <c r="L12" s="170">
        <f>IF(Commercial!K20="",0,Commercial!K20)</f>
        <v>0</v>
      </c>
      <c r="M12" s="170">
        <f>IF(Commercial!K60="",0,Commercial!K60)</f>
        <v>0</v>
      </c>
      <c r="N12" s="170">
        <f>IF(Wastewater!N18="",0,Wastewater!N18)</f>
        <v>0</v>
      </c>
      <c r="O12" s="170">
        <f t="shared" si="2"/>
        <v>0</v>
      </c>
      <c r="P12" s="170" t="str">
        <f t="shared" si="3"/>
        <v/>
      </c>
      <c r="R12" t="str">
        <f t="shared" si="4"/>
        <v>Foam trays</v>
      </c>
      <c r="S12" s="181">
        <f t="shared" si="5"/>
        <v>0</v>
      </c>
      <c r="T12" s="181">
        <f t="shared" si="6"/>
        <v>0</v>
      </c>
      <c r="U12" s="181">
        <f t="shared" si="7"/>
        <v>0</v>
      </c>
      <c r="V12" s="181">
        <f t="shared" si="8"/>
        <v>0</v>
      </c>
      <c r="W12" s="181">
        <f t="shared" si="9"/>
        <v>0</v>
      </c>
    </row>
    <row r="13" spans="1:39" ht="18" customHeight="1" x14ac:dyDescent="0.35">
      <c r="A13" s="118" t="str">
        <f>'Units and Governance'!B26</f>
        <v>Tampon applicators</v>
      </c>
      <c r="B13" s="170">
        <f>IF(Residential!D22="",0,Residential!D22)</f>
        <v>0</v>
      </c>
      <c r="C13" s="170">
        <f>IF(Residential!D63="",0,Residential!D63)</f>
        <v>0</v>
      </c>
      <c r="D13" s="170">
        <f>IF(Commercial!D21="",0,Commercial!D21)</f>
        <v>0</v>
      </c>
      <c r="E13" s="170">
        <f>IF(Commercial!D61="",0,Commercial!D61)</f>
        <v>0</v>
      </c>
      <c r="F13" s="170">
        <f>IF(Wastewater!F19="",0,Wastewater!F19)</f>
        <v>0</v>
      </c>
      <c r="G13" s="170">
        <f t="shared" si="0"/>
        <v>0</v>
      </c>
      <c r="H13" s="170" t="str">
        <f t="shared" si="1"/>
        <v/>
      </c>
      <c r="I13" s="120"/>
      <c r="J13" s="170">
        <f>IF(Residential!K22="",0,Residential!K22)</f>
        <v>0</v>
      </c>
      <c r="K13" s="170">
        <f>IF(Residential!K63="",0,Residential!K63)</f>
        <v>0</v>
      </c>
      <c r="L13" s="170">
        <f>IF(Commercial!K21="",0,Commercial!K21)</f>
        <v>0</v>
      </c>
      <c r="M13" s="170">
        <f>IF(Commercial!K61="",0,Commercial!K61)</f>
        <v>0</v>
      </c>
      <c r="N13" s="170">
        <f>IF(Wastewater!N19="",0,Wastewater!N19)</f>
        <v>0</v>
      </c>
      <c r="O13" s="170">
        <f t="shared" si="2"/>
        <v>0</v>
      </c>
      <c r="P13" s="170" t="str">
        <f t="shared" si="3"/>
        <v/>
      </c>
      <c r="R13" t="str">
        <f t="shared" si="4"/>
        <v>Tampon applicators</v>
      </c>
      <c r="S13" s="181">
        <f t="shared" si="5"/>
        <v>0</v>
      </c>
      <c r="T13" s="181">
        <f t="shared" si="6"/>
        <v>0</v>
      </c>
      <c r="U13" s="181">
        <f t="shared" si="7"/>
        <v>0</v>
      </c>
      <c r="V13" s="181">
        <f t="shared" si="8"/>
        <v>0</v>
      </c>
      <c r="W13" s="181">
        <f t="shared" si="9"/>
        <v>0</v>
      </c>
    </row>
    <row r="14" spans="1:39" ht="18" customHeight="1" x14ac:dyDescent="0.35">
      <c r="A14" s="118" t="str">
        <f>'Units and Governance'!B27</f>
        <v>Other SUP 1</v>
      </c>
      <c r="B14" s="170">
        <f>IF(Residential!D23="",0,Residential!D23)</f>
        <v>0</v>
      </c>
      <c r="C14" s="170">
        <f>IF(Residential!D64="",0,Residential!D64)</f>
        <v>0</v>
      </c>
      <c r="D14" s="170">
        <f>IF(Commercial!D22="",0,Commercial!D22)</f>
        <v>0</v>
      </c>
      <c r="E14" s="170">
        <f>IF(Commercial!D62="",0,Commercial!D62)</f>
        <v>0</v>
      </c>
      <c r="F14" s="170">
        <f>IF(Wastewater!F20="",0,Wastewater!F20)</f>
        <v>0</v>
      </c>
      <c r="G14" s="170">
        <f t="shared" si="0"/>
        <v>0</v>
      </c>
      <c r="H14" s="170" t="str">
        <f t="shared" si="1"/>
        <v/>
      </c>
      <c r="I14" s="120"/>
      <c r="J14" s="170">
        <f>IF(Residential!K23="",0,Residential!K23)</f>
        <v>0</v>
      </c>
      <c r="K14" s="170">
        <f>IF(Residential!K64="",0,Residential!K64)</f>
        <v>0</v>
      </c>
      <c r="L14" s="170">
        <f>IF(Commercial!K22="",0,Commercial!K22)</f>
        <v>0</v>
      </c>
      <c r="M14" s="170">
        <f>IF(Commercial!K62="",0,Commercial!K62)</f>
        <v>0</v>
      </c>
      <c r="N14" s="170">
        <f>IF(Wastewater!N20="",0,Wastewater!N20)</f>
        <v>0</v>
      </c>
      <c r="O14" s="170">
        <f t="shared" si="2"/>
        <v>0</v>
      </c>
      <c r="P14" s="170" t="str">
        <f t="shared" si="3"/>
        <v/>
      </c>
      <c r="R14" t="str">
        <f t="shared" si="4"/>
        <v>Other SUP 1</v>
      </c>
      <c r="S14" s="181">
        <f t="shared" si="5"/>
        <v>0</v>
      </c>
      <c r="T14" s="181">
        <f t="shared" si="6"/>
        <v>0</v>
      </c>
      <c r="U14" s="181">
        <f t="shared" si="7"/>
        <v>0</v>
      </c>
      <c r="V14" s="181">
        <f t="shared" si="8"/>
        <v>0</v>
      </c>
      <c r="W14" s="181">
        <f t="shared" si="9"/>
        <v>0</v>
      </c>
    </row>
    <row r="15" spans="1:39" ht="18" customHeight="1" x14ac:dyDescent="0.35">
      <c r="A15" s="118" t="str">
        <f>'Units and Governance'!B28</f>
        <v>Other SUP 2</v>
      </c>
      <c r="B15" s="170">
        <f>IF(Residential!D24="",0,Residential!D24)</f>
        <v>0</v>
      </c>
      <c r="C15" s="170">
        <f>IF(Residential!D65="",0,Residential!D65)</f>
        <v>0</v>
      </c>
      <c r="D15" s="170">
        <f>IF(Commercial!D23="",0,Commercial!D23)</f>
        <v>0</v>
      </c>
      <c r="E15" s="170">
        <f>IF(Commercial!D63="",0,Commercial!D63)</f>
        <v>0</v>
      </c>
      <c r="F15" s="170">
        <f>IF(Wastewater!F21="",0,Wastewater!F21)</f>
        <v>0</v>
      </c>
      <c r="G15" s="170">
        <f t="shared" si="0"/>
        <v>0</v>
      </c>
      <c r="H15" s="170" t="str">
        <f t="shared" si="1"/>
        <v/>
      </c>
      <c r="I15" s="120"/>
      <c r="J15" s="170">
        <f>IF(Residential!K24="",0,Residential!K24)</f>
        <v>0</v>
      </c>
      <c r="K15" s="170">
        <f>IF(Residential!K65="",0,Residential!K65)</f>
        <v>0</v>
      </c>
      <c r="L15" s="170">
        <f>IF(Commercial!K23="",0,Commercial!K23)</f>
        <v>0</v>
      </c>
      <c r="M15" s="170">
        <f>IF(Commercial!K63="",0,Commercial!K63)</f>
        <v>0</v>
      </c>
      <c r="N15" s="170">
        <f>IF(Wastewater!N21="",0,Wastewater!N21)</f>
        <v>0</v>
      </c>
      <c r="O15" s="170">
        <f t="shared" si="2"/>
        <v>0</v>
      </c>
      <c r="P15" s="170" t="str">
        <f t="shared" si="3"/>
        <v/>
      </c>
      <c r="R15" t="str">
        <f t="shared" si="4"/>
        <v>Other SUP 2</v>
      </c>
      <c r="S15" s="181">
        <f t="shared" si="5"/>
        <v>0</v>
      </c>
      <c r="T15" s="181">
        <f t="shared" si="6"/>
        <v>0</v>
      </c>
      <c r="U15" s="181">
        <f t="shared" si="7"/>
        <v>0</v>
      </c>
      <c r="V15" s="181">
        <f t="shared" si="8"/>
        <v>0</v>
      </c>
      <c r="W15" s="181">
        <f t="shared" si="9"/>
        <v>0</v>
      </c>
    </row>
    <row r="16" spans="1:39" ht="18" customHeight="1" x14ac:dyDescent="0.35">
      <c r="A16" s="118" t="str">
        <f>'Units and Governance'!B29</f>
        <v>Other SUP 3</v>
      </c>
      <c r="B16" s="170">
        <f>IF(Residential!D25="",0,Residential!D25)</f>
        <v>0</v>
      </c>
      <c r="C16" s="170">
        <f>IF(Residential!D66="",0,Residential!D66)</f>
        <v>0</v>
      </c>
      <c r="D16" s="170">
        <f>IF(Commercial!D24="",0,Commercial!D24)</f>
        <v>0</v>
      </c>
      <c r="E16" s="170">
        <f>IF(Commercial!D64="",0,Commercial!D64)</f>
        <v>0</v>
      </c>
      <c r="F16" s="170">
        <f>IF(Wastewater!F22="",0,Wastewater!F22)</f>
        <v>0</v>
      </c>
      <c r="G16" s="170">
        <f t="shared" si="0"/>
        <v>0</v>
      </c>
      <c r="H16" s="170" t="str">
        <f t="shared" si="1"/>
        <v/>
      </c>
      <c r="I16" s="120"/>
      <c r="J16" s="170">
        <f>IF(Residential!K25="",0,Residential!K25)</f>
        <v>0</v>
      </c>
      <c r="K16" s="170">
        <f>IF(Residential!K66="",0,Residential!K66)</f>
        <v>0</v>
      </c>
      <c r="L16" s="170">
        <f>IF(Commercial!K24="",0,Commercial!K24)</f>
        <v>0</v>
      </c>
      <c r="M16" s="170">
        <f>IF(Commercial!K64="",0,Commercial!K64)</f>
        <v>0</v>
      </c>
      <c r="N16" s="170">
        <f>IF(Wastewater!N22="",0,Wastewater!N22)</f>
        <v>0</v>
      </c>
      <c r="O16" s="170">
        <f t="shared" si="2"/>
        <v>0</v>
      </c>
      <c r="P16" s="170" t="str">
        <f t="shared" si="3"/>
        <v/>
      </c>
      <c r="R16" t="str">
        <f t="shared" si="4"/>
        <v>Other SUP 3</v>
      </c>
      <c r="S16" s="181">
        <f t="shared" si="5"/>
        <v>0</v>
      </c>
      <c r="T16" s="181">
        <f t="shared" si="6"/>
        <v>0</v>
      </c>
      <c r="U16" s="181">
        <f t="shared" si="7"/>
        <v>0</v>
      </c>
      <c r="V16" s="181">
        <f t="shared" si="8"/>
        <v>0</v>
      </c>
      <c r="W16" s="181">
        <f t="shared" si="9"/>
        <v>0</v>
      </c>
    </row>
    <row r="17" spans="1:16" ht="18" customHeight="1" x14ac:dyDescent="0.35">
      <c r="A17" s="119" t="s">
        <v>233</v>
      </c>
      <c r="B17" s="171">
        <f t="shared" ref="B17:G17" si="10">SUM(B6:B16)</f>
        <v>0</v>
      </c>
      <c r="C17" s="171">
        <f t="shared" si="10"/>
        <v>0</v>
      </c>
      <c r="D17" s="171">
        <f t="shared" si="10"/>
        <v>0</v>
      </c>
      <c r="E17" s="171">
        <f t="shared" si="10"/>
        <v>0</v>
      </c>
      <c r="F17" s="171">
        <f t="shared" si="10"/>
        <v>0</v>
      </c>
      <c r="G17" s="171">
        <f t="shared" si="10"/>
        <v>0</v>
      </c>
      <c r="H17" s="171" t="str">
        <f t="shared" si="1"/>
        <v/>
      </c>
      <c r="I17" s="121"/>
      <c r="J17" s="171">
        <f t="shared" ref="J17:O17" si="11">SUM(J6:J16)</f>
        <v>0</v>
      </c>
      <c r="K17" s="171">
        <f t="shared" si="11"/>
        <v>0</v>
      </c>
      <c r="L17" s="171">
        <f t="shared" si="11"/>
        <v>0</v>
      </c>
      <c r="M17" s="171">
        <f t="shared" si="11"/>
        <v>0</v>
      </c>
      <c r="N17" s="171">
        <f t="shared" si="11"/>
        <v>0</v>
      </c>
      <c r="O17" s="171">
        <f t="shared" si="11"/>
        <v>0</v>
      </c>
      <c r="P17" s="171" t="str">
        <f t="shared" si="3"/>
        <v/>
      </c>
    </row>
    <row r="18" spans="1:16" ht="18" customHeight="1" x14ac:dyDescent="0.35">
      <c r="A18" s="119" t="s">
        <v>323</v>
      </c>
      <c r="B18" s="171">
        <f>Residential!B9</f>
        <v>0</v>
      </c>
      <c r="C18" s="171">
        <f>Residential!B50</f>
        <v>0</v>
      </c>
      <c r="D18" s="171" t="str">
        <f>Commercial!B9</f>
        <v/>
      </c>
      <c r="E18" s="171">
        <f>Commercial!B49</f>
        <v>0</v>
      </c>
      <c r="F18" s="171">
        <f>Wastewater!B7</f>
        <v>0</v>
      </c>
      <c r="G18" s="171">
        <f>SUM(B18:F18)</f>
        <v>0</v>
      </c>
      <c r="H18" s="171" t="str">
        <f t="shared" si="1"/>
        <v/>
      </c>
      <c r="I18" s="121"/>
      <c r="J18" s="171">
        <f>Residential!I9</f>
        <v>0</v>
      </c>
      <c r="K18" s="171">
        <f>Residential!I50</f>
        <v>0</v>
      </c>
      <c r="L18" s="171" t="str">
        <f>Commercial!I9</f>
        <v/>
      </c>
      <c r="M18" s="171">
        <f>Commercial!I49</f>
        <v>0</v>
      </c>
      <c r="N18" s="171">
        <f>Wastewater!J7</f>
        <v>0</v>
      </c>
      <c r="O18" s="171">
        <f>SUM(J18:N18)</f>
        <v>0</v>
      </c>
      <c r="P18" s="171" t="str">
        <f t="shared" si="3"/>
        <v/>
      </c>
    </row>
    <row r="19" spans="1:16" ht="18" customHeight="1" x14ac:dyDescent="0.35">
      <c r="A19" s="73"/>
      <c r="B19" s="73"/>
      <c r="C19" s="73"/>
      <c r="D19" s="73"/>
      <c r="E19" s="73"/>
      <c r="F19" s="73"/>
      <c r="G19" s="73"/>
      <c r="H19" s="73"/>
      <c r="I19" s="120"/>
      <c r="J19" s="73"/>
      <c r="K19" s="73"/>
      <c r="L19" s="73"/>
      <c r="M19" s="73"/>
      <c r="N19" s="73"/>
      <c r="O19" s="73"/>
      <c r="P19" s="73"/>
    </row>
    <row r="20" spans="1:16" ht="21.9" customHeight="1" x14ac:dyDescent="0.35">
      <c r="A20" s="249" t="str">
        <f>"SUP COST BY STREAM - YEAR "&amp;'Units and Governance'!B14&amp;" ("&amp;'Units and Governance'!B5&amp;")"</f>
        <v>SUP COST BY STREAM - YEAR 2010 (CAD)</v>
      </c>
      <c r="B20" s="279"/>
      <c r="C20" s="279"/>
      <c r="D20" s="279"/>
      <c r="E20" s="279"/>
      <c r="F20" s="279"/>
      <c r="G20" s="279"/>
      <c r="H20" s="279"/>
      <c r="I20" s="120"/>
      <c r="J20" s="249" t="str">
        <f>"SUP COST BY STREAM - YEAR "&amp;'Units and Governance'!B15&amp;" ("&amp;'Units and Governance'!B5&amp;")"</f>
        <v>SUP COST BY STREAM - YEAR 2026 (CAD)</v>
      </c>
      <c r="K20" s="279"/>
      <c r="L20" s="279"/>
      <c r="M20" s="279"/>
      <c r="N20" s="279"/>
      <c r="O20" s="279"/>
      <c r="P20" s="279"/>
    </row>
    <row r="21" spans="1:16" ht="18" customHeight="1" x14ac:dyDescent="0.35">
      <c r="A21" s="59" t="s">
        <v>230</v>
      </c>
      <c r="B21" s="59" t="s">
        <v>312</v>
      </c>
      <c r="C21" s="59" t="s">
        <v>313</v>
      </c>
      <c r="D21" s="59" t="s">
        <v>314</v>
      </c>
      <c r="E21" s="59" t="s">
        <v>315</v>
      </c>
      <c r="F21" s="59" t="s">
        <v>184</v>
      </c>
      <c r="G21" s="59" t="s">
        <v>316</v>
      </c>
      <c r="H21" s="59" t="str">
        <f>"Per Capita ("&amp;'Units and Governance'!B5&amp;")"</f>
        <v>Per Capita (CAD)</v>
      </c>
      <c r="I21" s="120"/>
      <c r="J21" s="59" t="s">
        <v>312</v>
      </c>
      <c r="K21" s="59" t="s">
        <v>313</v>
      </c>
      <c r="L21" s="59" t="s">
        <v>314</v>
      </c>
      <c r="M21" s="59" t="s">
        <v>315</v>
      </c>
      <c r="N21" s="59" t="s">
        <v>184</v>
      </c>
      <c r="O21" s="59" t="s">
        <v>316</v>
      </c>
      <c r="P21" s="59" t="str">
        <f>"Per Capita ("&amp;'Units and Governance'!B5&amp;")"</f>
        <v>Per Capita (CAD)</v>
      </c>
    </row>
    <row r="22" spans="1:16" ht="18" customHeight="1" x14ac:dyDescent="0.35">
      <c r="A22" s="118" t="str">
        <f>'Units and Governance'!B19</f>
        <v>Lined hot cups</v>
      </c>
      <c r="B22" s="115">
        <f>Residential!E15</f>
        <v>0</v>
      </c>
      <c r="C22" s="115">
        <f>Residential!E56</f>
        <v>0</v>
      </c>
      <c r="D22" s="115">
        <f>Commercial!E14</f>
        <v>0</v>
      </c>
      <c r="E22" s="115">
        <f>Commercial!E54</f>
        <v>0</v>
      </c>
      <c r="F22" s="115">
        <f>Wastewater!G12</f>
        <v>0</v>
      </c>
      <c r="G22" s="115">
        <f t="shared" ref="G22:G32" si="12">IFERROR(SUM(B22:F22),0)</f>
        <v>0</v>
      </c>
      <c r="H22" s="115" t="str">
        <f t="shared" ref="H22:H34" si="13">IFERROR(G22/$B$3,"")</f>
        <v/>
      </c>
      <c r="I22" s="199"/>
      <c r="J22" s="115">
        <f>Residential!L15</f>
        <v>0</v>
      </c>
      <c r="K22" s="115">
        <f>Residential!L56</f>
        <v>0</v>
      </c>
      <c r="L22" s="115">
        <f>Commercial!L14</f>
        <v>0</v>
      </c>
      <c r="M22" s="115">
        <f>Commercial!L54</f>
        <v>0</v>
      </c>
      <c r="N22" s="115">
        <f>Wastewater!O12</f>
        <v>0</v>
      </c>
      <c r="O22" s="115">
        <f t="shared" ref="O22:O32" si="14">IFERROR(SUM(J22:N22),0)</f>
        <v>0</v>
      </c>
      <c r="P22" s="115" t="str">
        <f t="shared" ref="P22:P34" si="15">IFERROR(O22/$B$3,"")</f>
        <v/>
      </c>
    </row>
    <row r="23" spans="1:16" ht="18" customHeight="1" x14ac:dyDescent="0.35">
      <c r="A23" s="118" t="str">
        <f>'Units and Governance'!B20</f>
        <v>Plastic cold cups</v>
      </c>
      <c r="B23" s="115">
        <f>Residential!E16</f>
        <v>0</v>
      </c>
      <c r="C23" s="115">
        <f>Residential!E57</f>
        <v>0</v>
      </c>
      <c r="D23" s="115">
        <f>Commercial!E15</f>
        <v>0</v>
      </c>
      <c r="E23" s="115">
        <f>Commercial!E55</f>
        <v>0</v>
      </c>
      <c r="F23" s="115">
        <f>Wastewater!G13</f>
        <v>0</v>
      </c>
      <c r="G23" s="115">
        <f t="shared" si="12"/>
        <v>0</v>
      </c>
      <c r="H23" s="115" t="str">
        <f t="shared" si="13"/>
        <v/>
      </c>
      <c r="I23" s="199"/>
      <c r="J23" s="115">
        <f>Residential!L16</f>
        <v>0</v>
      </c>
      <c r="K23" s="115">
        <f>Residential!L57</f>
        <v>0</v>
      </c>
      <c r="L23" s="115">
        <f>Commercial!L15</f>
        <v>0</v>
      </c>
      <c r="M23" s="115">
        <f>Commercial!L55</f>
        <v>0</v>
      </c>
      <c r="N23" s="115">
        <f>Wastewater!O13</f>
        <v>0</v>
      </c>
      <c r="O23" s="115">
        <f t="shared" si="14"/>
        <v>0</v>
      </c>
      <c r="P23" s="115" t="str">
        <f t="shared" si="15"/>
        <v/>
      </c>
    </row>
    <row r="24" spans="1:16" ht="18" customHeight="1" x14ac:dyDescent="0.35">
      <c r="A24" s="118" t="str">
        <f>'Units and Governance'!B21</f>
        <v>Cup lids</v>
      </c>
      <c r="B24" s="115">
        <f>Residential!E17</f>
        <v>0</v>
      </c>
      <c r="C24" s="115">
        <f>Residential!E58</f>
        <v>0</v>
      </c>
      <c r="D24" s="115">
        <f>Commercial!E16</f>
        <v>0</v>
      </c>
      <c r="E24" s="115">
        <f>Commercial!E56</f>
        <v>0</v>
      </c>
      <c r="F24" s="115">
        <f>Wastewater!G14</f>
        <v>0</v>
      </c>
      <c r="G24" s="115">
        <f t="shared" si="12"/>
        <v>0</v>
      </c>
      <c r="H24" s="115" t="str">
        <f t="shared" si="13"/>
        <v/>
      </c>
      <c r="I24" s="199"/>
      <c r="J24" s="115">
        <f>Residential!L17</f>
        <v>0</v>
      </c>
      <c r="K24" s="115">
        <f>Residential!L58</f>
        <v>0</v>
      </c>
      <c r="L24" s="115">
        <f>Commercial!L16</f>
        <v>0</v>
      </c>
      <c r="M24" s="115">
        <f>Commercial!L56</f>
        <v>0</v>
      </c>
      <c r="N24" s="115">
        <f>Wastewater!O14</f>
        <v>0</v>
      </c>
      <c r="O24" s="115">
        <f t="shared" si="14"/>
        <v>0</v>
      </c>
      <c r="P24" s="115" t="str">
        <f t="shared" si="15"/>
        <v/>
      </c>
    </row>
    <row r="25" spans="1:16" ht="18" customHeight="1" x14ac:dyDescent="0.35">
      <c r="A25" s="118" t="str">
        <f>'Units and Governance'!B22</f>
        <v>Vaping devices</v>
      </c>
      <c r="B25" s="115">
        <f>Residential!E18</f>
        <v>0</v>
      </c>
      <c r="C25" s="115">
        <f>Residential!E59</f>
        <v>0</v>
      </c>
      <c r="D25" s="115">
        <f>Commercial!E17</f>
        <v>0</v>
      </c>
      <c r="E25" s="115">
        <f>Commercial!E57</f>
        <v>0</v>
      </c>
      <c r="F25" s="115">
        <f>Wastewater!G15</f>
        <v>0</v>
      </c>
      <c r="G25" s="115">
        <f t="shared" si="12"/>
        <v>0</v>
      </c>
      <c r="H25" s="115" t="str">
        <f t="shared" si="13"/>
        <v/>
      </c>
      <c r="I25" s="199"/>
      <c r="J25" s="115">
        <f>Residential!L18</f>
        <v>0</v>
      </c>
      <c r="K25" s="115">
        <f>Residential!L59</f>
        <v>0</v>
      </c>
      <c r="L25" s="115">
        <f>Commercial!L17</f>
        <v>0</v>
      </c>
      <c r="M25" s="115">
        <f>Commercial!L57</f>
        <v>0</v>
      </c>
      <c r="N25" s="115">
        <f>Wastewater!O15</f>
        <v>0</v>
      </c>
      <c r="O25" s="115">
        <f t="shared" si="14"/>
        <v>0</v>
      </c>
      <c r="P25" s="115" t="str">
        <f t="shared" si="15"/>
        <v/>
      </c>
    </row>
    <row r="26" spans="1:16" ht="18" customHeight="1" x14ac:dyDescent="0.35">
      <c r="A26" s="118" t="str">
        <f>'Units and Governance'!B23</f>
        <v>Bottle caps</v>
      </c>
      <c r="B26" s="115">
        <f>Residential!E19</f>
        <v>0</v>
      </c>
      <c r="C26" s="115">
        <f>Residential!E60</f>
        <v>0</v>
      </c>
      <c r="D26" s="115">
        <f>Commercial!E18</f>
        <v>0</v>
      </c>
      <c r="E26" s="115">
        <f>Commercial!E58</f>
        <v>0</v>
      </c>
      <c r="F26" s="115">
        <f>Wastewater!G16</f>
        <v>0</v>
      </c>
      <c r="G26" s="115">
        <f t="shared" si="12"/>
        <v>0</v>
      </c>
      <c r="H26" s="115" t="str">
        <f t="shared" si="13"/>
        <v/>
      </c>
      <c r="I26" s="199"/>
      <c r="J26" s="115">
        <f>Residential!L19</f>
        <v>0</v>
      </c>
      <c r="K26" s="115">
        <f>Residential!L60</f>
        <v>0</v>
      </c>
      <c r="L26" s="115">
        <f>Commercial!L18</f>
        <v>0</v>
      </c>
      <c r="M26" s="115">
        <f>Commercial!L58</f>
        <v>0</v>
      </c>
      <c r="N26" s="115">
        <f>Wastewater!O16</f>
        <v>0</v>
      </c>
      <c r="O26" s="115">
        <f t="shared" si="14"/>
        <v>0</v>
      </c>
      <c r="P26" s="115" t="str">
        <f t="shared" si="15"/>
        <v/>
      </c>
    </row>
    <row r="27" spans="1:16" ht="18" customHeight="1" x14ac:dyDescent="0.35">
      <c r="A27" s="118" t="str">
        <f>'Units and Governance'!B24</f>
        <v>Plastic bottles</v>
      </c>
      <c r="B27" s="115">
        <f>Residential!E20</f>
        <v>0</v>
      </c>
      <c r="C27" s="115">
        <f>Residential!E61</f>
        <v>0</v>
      </c>
      <c r="D27" s="115">
        <f>Commercial!E19</f>
        <v>0</v>
      </c>
      <c r="E27" s="115">
        <f>Commercial!E59</f>
        <v>0</v>
      </c>
      <c r="F27" s="115">
        <f>Wastewater!G17</f>
        <v>0</v>
      </c>
      <c r="G27" s="115">
        <f t="shared" si="12"/>
        <v>0</v>
      </c>
      <c r="H27" s="115" t="str">
        <f t="shared" si="13"/>
        <v/>
      </c>
      <c r="I27" s="199"/>
      <c r="J27" s="115">
        <f>Residential!L20</f>
        <v>0</v>
      </c>
      <c r="K27" s="115">
        <f>Residential!L61</f>
        <v>0</v>
      </c>
      <c r="L27" s="115">
        <f>Commercial!L19</f>
        <v>0</v>
      </c>
      <c r="M27" s="115">
        <f>Commercial!L59</f>
        <v>0</v>
      </c>
      <c r="N27" s="115">
        <f>Wastewater!O17</f>
        <v>0</v>
      </c>
      <c r="O27" s="115">
        <f t="shared" si="14"/>
        <v>0</v>
      </c>
      <c r="P27" s="115" t="str">
        <f t="shared" si="15"/>
        <v/>
      </c>
    </row>
    <row r="28" spans="1:16" ht="18" customHeight="1" x14ac:dyDescent="0.35">
      <c r="A28" s="118" t="str">
        <f>'Units and Governance'!B25</f>
        <v>Foam trays</v>
      </c>
      <c r="B28" s="115">
        <f>Residential!E21</f>
        <v>0</v>
      </c>
      <c r="C28" s="115">
        <f>Residential!E62</f>
        <v>0</v>
      </c>
      <c r="D28" s="115">
        <f>Commercial!E20</f>
        <v>0</v>
      </c>
      <c r="E28" s="115">
        <f>Commercial!E60</f>
        <v>0</v>
      </c>
      <c r="F28" s="115">
        <f>Wastewater!G18</f>
        <v>0</v>
      </c>
      <c r="G28" s="115">
        <f t="shared" si="12"/>
        <v>0</v>
      </c>
      <c r="H28" s="115" t="str">
        <f t="shared" si="13"/>
        <v/>
      </c>
      <c r="I28" s="199"/>
      <c r="J28" s="115">
        <f>Residential!L21</f>
        <v>0</v>
      </c>
      <c r="K28" s="115">
        <f>Residential!L62</f>
        <v>0</v>
      </c>
      <c r="L28" s="115">
        <f>Commercial!L20</f>
        <v>0</v>
      </c>
      <c r="M28" s="115">
        <f>Commercial!L60</f>
        <v>0</v>
      </c>
      <c r="N28" s="115">
        <f>Wastewater!O18</f>
        <v>0</v>
      </c>
      <c r="O28" s="115">
        <f t="shared" si="14"/>
        <v>0</v>
      </c>
      <c r="P28" s="115" t="str">
        <f t="shared" si="15"/>
        <v/>
      </c>
    </row>
    <row r="29" spans="1:16" ht="18" customHeight="1" x14ac:dyDescent="0.35">
      <c r="A29" s="118" t="str">
        <f>'Units and Governance'!B26</f>
        <v>Tampon applicators</v>
      </c>
      <c r="B29" s="115">
        <f>Residential!E22</f>
        <v>0</v>
      </c>
      <c r="C29" s="115">
        <f>Residential!E63</f>
        <v>0</v>
      </c>
      <c r="D29" s="115">
        <f>Commercial!E21</f>
        <v>0</v>
      </c>
      <c r="E29" s="115">
        <f>Commercial!E61</f>
        <v>0</v>
      </c>
      <c r="F29" s="115">
        <f>Wastewater!G19</f>
        <v>0</v>
      </c>
      <c r="G29" s="115">
        <f t="shared" si="12"/>
        <v>0</v>
      </c>
      <c r="H29" s="115" t="str">
        <f t="shared" si="13"/>
        <v/>
      </c>
      <c r="I29" s="199"/>
      <c r="J29" s="115">
        <f>Residential!L22</f>
        <v>0</v>
      </c>
      <c r="K29" s="115">
        <f>Residential!L63</f>
        <v>0</v>
      </c>
      <c r="L29" s="115">
        <f>Commercial!L21</f>
        <v>0</v>
      </c>
      <c r="M29" s="115">
        <f>Commercial!L61</f>
        <v>0</v>
      </c>
      <c r="N29" s="115">
        <f>Wastewater!O19</f>
        <v>0</v>
      </c>
      <c r="O29" s="115">
        <f t="shared" si="14"/>
        <v>0</v>
      </c>
      <c r="P29" s="115" t="str">
        <f t="shared" si="15"/>
        <v/>
      </c>
    </row>
    <row r="30" spans="1:16" ht="18" customHeight="1" x14ac:dyDescent="0.35">
      <c r="A30" s="118" t="str">
        <f>'Units and Governance'!B27</f>
        <v>Other SUP 1</v>
      </c>
      <c r="B30" s="115">
        <f>Residential!E23</f>
        <v>0</v>
      </c>
      <c r="C30" s="115">
        <f>Residential!E64</f>
        <v>0</v>
      </c>
      <c r="D30" s="115">
        <f>Commercial!E22</f>
        <v>0</v>
      </c>
      <c r="E30" s="115">
        <f>Commercial!E62</f>
        <v>0</v>
      </c>
      <c r="F30" s="115">
        <f>Wastewater!G20</f>
        <v>0</v>
      </c>
      <c r="G30" s="115">
        <f t="shared" si="12"/>
        <v>0</v>
      </c>
      <c r="H30" s="115" t="str">
        <f t="shared" si="13"/>
        <v/>
      </c>
      <c r="I30" s="199"/>
      <c r="J30" s="115">
        <f>Residential!L23</f>
        <v>0</v>
      </c>
      <c r="K30" s="115">
        <f>Residential!L64</f>
        <v>0</v>
      </c>
      <c r="L30" s="115">
        <f>Commercial!L22</f>
        <v>0</v>
      </c>
      <c r="M30" s="115">
        <f>Commercial!L62</f>
        <v>0</v>
      </c>
      <c r="N30" s="115">
        <f>Wastewater!O20</f>
        <v>0</v>
      </c>
      <c r="O30" s="115">
        <f t="shared" si="14"/>
        <v>0</v>
      </c>
      <c r="P30" s="115" t="str">
        <f t="shared" si="15"/>
        <v/>
      </c>
    </row>
    <row r="31" spans="1:16" ht="18" customHeight="1" x14ac:dyDescent="0.35">
      <c r="A31" s="118" t="str">
        <f>'Units and Governance'!B28</f>
        <v>Other SUP 2</v>
      </c>
      <c r="B31" s="115">
        <f>Residential!E24</f>
        <v>0</v>
      </c>
      <c r="C31" s="115">
        <f>Residential!E65</f>
        <v>0</v>
      </c>
      <c r="D31" s="115">
        <f>Commercial!E23</f>
        <v>0</v>
      </c>
      <c r="E31" s="115">
        <f>Commercial!E63</f>
        <v>0</v>
      </c>
      <c r="F31" s="115">
        <f>Wastewater!G21</f>
        <v>0</v>
      </c>
      <c r="G31" s="115">
        <f t="shared" si="12"/>
        <v>0</v>
      </c>
      <c r="H31" s="115" t="str">
        <f t="shared" si="13"/>
        <v/>
      </c>
      <c r="I31" s="199"/>
      <c r="J31" s="115">
        <f>Residential!L24</f>
        <v>0</v>
      </c>
      <c r="K31" s="115">
        <f>Residential!L65</f>
        <v>0</v>
      </c>
      <c r="L31" s="115">
        <f>Commercial!L23</f>
        <v>0</v>
      </c>
      <c r="M31" s="115">
        <f>Commercial!L63</f>
        <v>0</v>
      </c>
      <c r="N31" s="115">
        <f>Wastewater!O21</f>
        <v>0</v>
      </c>
      <c r="O31" s="115">
        <f t="shared" si="14"/>
        <v>0</v>
      </c>
      <c r="P31" s="115" t="str">
        <f t="shared" si="15"/>
        <v/>
      </c>
    </row>
    <row r="32" spans="1:16" ht="18" customHeight="1" x14ac:dyDescent="0.35">
      <c r="A32" s="118" t="str">
        <f>'Units and Governance'!B29</f>
        <v>Other SUP 3</v>
      </c>
      <c r="B32" s="115">
        <f>Residential!E25</f>
        <v>0</v>
      </c>
      <c r="C32" s="115">
        <f>Residential!E66</f>
        <v>0</v>
      </c>
      <c r="D32" s="115">
        <f>Commercial!E24</f>
        <v>0</v>
      </c>
      <c r="E32" s="115">
        <f>Commercial!E64</f>
        <v>0</v>
      </c>
      <c r="F32" s="115">
        <f>Wastewater!G22</f>
        <v>0</v>
      </c>
      <c r="G32" s="115">
        <f t="shared" si="12"/>
        <v>0</v>
      </c>
      <c r="H32" s="115" t="str">
        <f t="shared" si="13"/>
        <v/>
      </c>
      <c r="I32" s="199"/>
      <c r="J32" s="115">
        <f>Residential!L25</f>
        <v>0</v>
      </c>
      <c r="K32" s="115">
        <f>Residential!L66</f>
        <v>0</v>
      </c>
      <c r="L32" s="115">
        <f>Commercial!L24</f>
        <v>0</v>
      </c>
      <c r="M32" s="115">
        <f>Commercial!L64</f>
        <v>0</v>
      </c>
      <c r="N32" s="115">
        <f>Wastewater!O22</f>
        <v>0</v>
      </c>
      <c r="O32" s="115">
        <f t="shared" si="14"/>
        <v>0</v>
      </c>
      <c r="P32" s="115" t="str">
        <f t="shared" si="15"/>
        <v/>
      </c>
    </row>
    <row r="33" spans="1:49" ht="18" customHeight="1" x14ac:dyDescent="0.35">
      <c r="A33" s="119" t="s">
        <v>324</v>
      </c>
      <c r="B33" s="200">
        <f t="shared" ref="B33:F33" si="16">SUM(B22:B32)</f>
        <v>0</v>
      </c>
      <c r="C33" s="200">
        <f t="shared" si="16"/>
        <v>0</v>
      </c>
      <c r="D33" s="200">
        <f t="shared" si="16"/>
        <v>0</v>
      </c>
      <c r="E33" s="200">
        <f t="shared" si="16"/>
        <v>0</v>
      </c>
      <c r="F33" s="200">
        <f t="shared" si="16"/>
        <v>0</v>
      </c>
      <c r="G33" s="200">
        <f>IFERROR(SUM(G22:G32),0)</f>
        <v>0</v>
      </c>
      <c r="H33" s="200" t="str">
        <f t="shared" si="13"/>
        <v/>
      </c>
      <c r="I33" s="201"/>
      <c r="J33" s="200">
        <f t="shared" ref="J33:N33" si="17">SUM(J22:J32)</f>
        <v>0</v>
      </c>
      <c r="K33" s="200">
        <f t="shared" si="17"/>
        <v>0</v>
      </c>
      <c r="L33" s="200">
        <f t="shared" si="17"/>
        <v>0</v>
      </c>
      <c r="M33" s="200">
        <f t="shared" si="17"/>
        <v>0</v>
      </c>
      <c r="N33" s="200">
        <f t="shared" si="17"/>
        <v>0</v>
      </c>
      <c r="O33" s="200">
        <f>IFERROR(SUM(O22:O32),0)</f>
        <v>0</v>
      </c>
      <c r="P33" s="200" t="str">
        <f t="shared" si="15"/>
        <v/>
      </c>
    </row>
    <row r="34" spans="1:49" ht="18" customHeight="1" x14ac:dyDescent="0.35">
      <c r="A34" s="119" t="s">
        <v>325</v>
      </c>
      <c r="B34" s="200">
        <f>Residential!B10</f>
        <v>0</v>
      </c>
      <c r="C34" s="200">
        <f>Residential!B51</f>
        <v>0</v>
      </c>
      <c r="D34" s="200">
        <f>Commercial!B10</f>
        <v>0</v>
      </c>
      <c r="E34" s="200">
        <f>Commercial!B50</f>
        <v>0</v>
      </c>
      <c r="F34" s="200">
        <f>Wastewater!B32</f>
        <v>0</v>
      </c>
      <c r="G34" s="200">
        <f>SUM(B34:F34)</f>
        <v>0</v>
      </c>
      <c r="H34" s="200" t="str">
        <f t="shared" si="13"/>
        <v/>
      </c>
      <c r="I34" s="201"/>
      <c r="J34" s="200">
        <f>Residential!I10</f>
        <v>0</v>
      </c>
      <c r="K34" s="200">
        <f>Residential!I51</f>
        <v>0</v>
      </c>
      <c r="L34" s="200">
        <f>Commercial!I10</f>
        <v>0</v>
      </c>
      <c r="M34" s="200">
        <f>Commercial!I50</f>
        <v>0</v>
      </c>
      <c r="N34" s="200">
        <f>Wastewater!J32</f>
        <v>0</v>
      </c>
      <c r="O34" s="200">
        <f>SUM(J34:N34)</f>
        <v>0</v>
      </c>
      <c r="P34" s="200" t="str">
        <f t="shared" si="15"/>
        <v/>
      </c>
    </row>
    <row r="35" spans="1:49" ht="18" customHeight="1" x14ac:dyDescent="0.35">
      <c r="A35" s="73"/>
      <c r="B35" s="73"/>
      <c r="C35" s="73"/>
      <c r="D35" s="73"/>
      <c r="E35" s="73"/>
      <c r="F35" s="73"/>
      <c r="G35" s="73"/>
      <c r="H35" s="73"/>
      <c r="I35" s="22"/>
      <c r="J35" s="73"/>
      <c r="K35" s="73"/>
      <c r="L35" s="73"/>
      <c r="M35" s="73"/>
      <c r="N35" s="73"/>
      <c r="O35" s="73"/>
      <c r="P35" s="73"/>
    </row>
    <row r="36" spans="1:49" ht="21.9" customHeight="1" x14ac:dyDescent="0.35">
      <c r="A36" s="249" t="str">
        <f>"YEAR-OVER-YEAR COMPARISON ("&amp;'Units and Governance'!B14&amp;" vs "&amp;'Units and Governance'!B15&amp;")"</f>
        <v>YEAR-OVER-YEAR COMPARISON (2010 vs 2026)</v>
      </c>
      <c r="B36" s="279"/>
      <c r="C36" s="279"/>
      <c r="D36" s="279"/>
      <c r="E36" s="279"/>
      <c r="F36" s="279"/>
      <c r="G36" s="73"/>
      <c r="H36" s="73"/>
      <c r="I36" s="22"/>
      <c r="J36" s="73"/>
      <c r="K36" s="73"/>
      <c r="L36" s="73"/>
      <c r="M36" s="73"/>
      <c r="N36" s="73"/>
      <c r="O36" s="73"/>
      <c r="P36" s="73"/>
    </row>
    <row r="37" spans="1:49" ht="18" customHeight="1" x14ac:dyDescent="0.35">
      <c r="A37" s="59" t="s">
        <v>254</v>
      </c>
      <c r="B37" s="59" t="str">
        <f>"Year "&amp;'Units and Governance'!B14</f>
        <v>Year 2010</v>
      </c>
      <c r="C37" s="59" t="str">
        <f>"Year "&amp;'Units and Governance'!B15</f>
        <v>Year 2026</v>
      </c>
      <c r="D37" s="59" t="s">
        <v>326</v>
      </c>
      <c r="E37" s="59" t="s">
        <v>327</v>
      </c>
      <c r="F37" s="59" t="s">
        <v>328</v>
      </c>
      <c r="G37" s="73"/>
      <c r="H37" s="73"/>
      <c r="I37" s="22"/>
      <c r="J37" s="73"/>
      <c r="K37" s="73"/>
      <c r="L37" s="73"/>
      <c r="M37" s="73"/>
      <c r="N37" s="73"/>
      <c r="O37" s="73"/>
      <c r="P37" s="73"/>
    </row>
    <row r="38" spans="1:49" ht="18" customHeight="1" x14ac:dyDescent="0.35">
      <c r="A38" s="73" t="s">
        <v>329</v>
      </c>
      <c r="B38" s="115">
        <f>G17</f>
        <v>0</v>
      </c>
      <c r="C38" s="115">
        <f>O17</f>
        <v>0</v>
      </c>
      <c r="D38" s="115">
        <f t="shared" ref="D38:D41" si="18">C38-B38</f>
        <v>0</v>
      </c>
      <c r="E38" s="116">
        <f t="shared" ref="E38:E41" si="19">IF(B38&gt;0,(C38-B38)/B38,0)</f>
        <v>0</v>
      </c>
      <c r="F38" s="117" t="str">
        <f t="shared" ref="F38:F41" si="20">IF(D38&gt;0,"↑",IF(D38&lt;0,"↓","→"))</f>
        <v>→</v>
      </c>
      <c r="G38" s="73"/>
      <c r="H38" s="73"/>
      <c r="I38" s="22"/>
      <c r="J38" s="73"/>
      <c r="K38" s="73"/>
      <c r="L38" s="73"/>
      <c r="M38" s="73"/>
      <c r="N38" s="73"/>
      <c r="O38" s="73"/>
      <c r="P38" s="73"/>
    </row>
    <row r="39" spans="1:49" ht="18" customHeight="1" x14ac:dyDescent="0.35">
      <c r="A39" s="73" t="s">
        <v>330</v>
      </c>
      <c r="B39" s="115">
        <f>G18</f>
        <v>0</v>
      </c>
      <c r="C39" s="115">
        <f>O18</f>
        <v>0</v>
      </c>
      <c r="D39" s="115">
        <f t="shared" si="18"/>
        <v>0</v>
      </c>
      <c r="E39" s="116">
        <f t="shared" si="19"/>
        <v>0</v>
      </c>
      <c r="F39" s="117" t="str">
        <f t="shared" si="20"/>
        <v>→</v>
      </c>
      <c r="G39" s="73"/>
      <c r="H39" s="73"/>
      <c r="I39" s="22"/>
      <c r="J39" s="73"/>
      <c r="K39" s="73"/>
      <c r="L39" s="73"/>
      <c r="M39" s="73"/>
      <c r="N39" s="73"/>
      <c r="O39" s="73"/>
      <c r="P39" s="73"/>
    </row>
    <row r="40" spans="1:49" ht="18" customHeight="1" x14ac:dyDescent="0.35">
      <c r="A40" s="73" t="str">
        <f>"Total SUP Cost ("&amp;'Units and Governance'!B5&amp;")"</f>
        <v>Total SUP Cost (CAD)</v>
      </c>
      <c r="B40" s="115">
        <f>IFERROR(G33,0)</f>
        <v>0</v>
      </c>
      <c r="C40" s="115">
        <f>IFERROR(O33,0)</f>
        <v>0</v>
      </c>
      <c r="D40" s="115">
        <f>IFERROR(C40-B40,0)</f>
        <v>0</v>
      </c>
      <c r="E40" s="116">
        <f>IFERROR(IF(B40=0,0,D40/B40),0)</f>
        <v>0</v>
      </c>
      <c r="F40" s="117" t="str">
        <f>IF(D40&gt;0,"↑",IF(D40&lt;0,"↓","→"))</f>
        <v>→</v>
      </c>
      <c r="G40" s="73"/>
      <c r="H40" s="73"/>
      <c r="I40" s="22"/>
      <c r="J40" s="73"/>
      <c r="K40" s="73"/>
      <c r="L40" s="73"/>
      <c r="M40" s="73"/>
      <c r="N40" s="73"/>
      <c r="O40" s="73"/>
      <c r="P40" s="73"/>
    </row>
    <row r="41" spans="1:49" ht="18" customHeight="1" x14ac:dyDescent="0.35">
      <c r="A41" s="73" t="str">
        <f>"Total Plastic Cost ("&amp;'Units and Governance'!B5&amp;")"</f>
        <v>Total Plastic Cost (CAD)</v>
      </c>
      <c r="B41" s="115">
        <f>G34</f>
        <v>0</v>
      </c>
      <c r="C41" s="115">
        <f>O34</f>
        <v>0</v>
      </c>
      <c r="D41" s="115">
        <f t="shared" si="18"/>
        <v>0</v>
      </c>
      <c r="E41" s="116">
        <f t="shared" si="19"/>
        <v>0</v>
      </c>
      <c r="F41" s="117" t="str">
        <f t="shared" si="20"/>
        <v>→</v>
      </c>
      <c r="G41" s="73"/>
      <c r="H41" s="73"/>
      <c r="I41" s="22"/>
      <c r="J41" s="73"/>
      <c r="K41" s="73"/>
      <c r="L41" s="73"/>
      <c r="M41" s="73"/>
      <c r="N41" s="73"/>
      <c r="O41" s="73"/>
      <c r="P41" s="73"/>
    </row>
    <row r="42" spans="1:49" ht="18" customHeight="1" x14ac:dyDescent="0.35">
      <c r="A42" s="73" t="s">
        <v>331</v>
      </c>
      <c r="B42" s="115" t="str">
        <f>IFERROR(G17/$B$3,"")</f>
        <v/>
      </c>
      <c r="C42" s="115" t="str">
        <f>IFERROR(O17/$B$3,"")</f>
        <v/>
      </c>
      <c r="D42" s="115" t="str">
        <f>IFERROR(C42-B42,"")</f>
        <v/>
      </c>
      <c r="E42" s="116" t="str">
        <f>IFERROR(IF(B42=0,0,D42/B42),"")</f>
        <v/>
      </c>
      <c r="F42" s="117" t="str">
        <f>IFERROR(IF(D42&gt;0,"↑",IF(D42&lt;0,"↓","→")),"")</f>
        <v>↑</v>
      </c>
      <c r="G42" s="73"/>
      <c r="H42" s="73"/>
      <c r="I42" s="22"/>
      <c r="J42" s="73"/>
      <c r="K42" s="73"/>
      <c r="L42" s="73"/>
      <c r="M42" s="73"/>
      <c r="N42" s="73"/>
      <c r="O42" s="73"/>
      <c r="P42" s="73"/>
    </row>
    <row r="43" spans="1:49" ht="18" customHeight="1" x14ac:dyDescent="0.35">
      <c r="A43" s="73" t="str">
        <f>"Per Capita SUP Cost ("&amp;'Units and Governance'!B5&amp;")"</f>
        <v>Per Capita SUP Cost (CAD)</v>
      </c>
      <c r="B43" s="115" t="str">
        <f>IFERROR(H33,0)</f>
        <v/>
      </c>
      <c r="C43" s="115" t="str">
        <f>IFERROR(P33,0)</f>
        <v/>
      </c>
      <c r="D43" s="115">
        <f>IFERROR(C43-B43,0)</f>
        <v>0</v>
      </c>
      <c r="E43" s="116">
        <f>IFERROR(IF(B43=0,0,D43/B43),0)</f>
        <v>0</v>
      </c>
      <c r="F43" s="117" t="str">
        <f>IF(D43&gt;0,"↑",IF(D43&lt;0,"↓","→"))</f>
        <v>→</v>
      </c>
      <c r="G43" s="73"/>
      <c r="H43" s="73"/>
      <c r="I43" s="22"/>
      <c r="J43" s="73"/>
      <c r="K43" s="73"/>
      <c r="L43" s="73"/>
      <c r="M43" s="73"/>
      <c r="N43" s="73"/>
      <c r="O43" s="73"/>
      <c r="P43" s="73"/>
    </row>
    <row r="44" spans="1:49" ht="18" customHeight="1" x14ac:dyDescent="0.35">
      <c r="A44" s="22"/>
      <c r="B44" s="177"/>
      <c r="C44" s="177"/>
      <c r="D44" s="177"/>
      <c r="E44" s="178"/>
      <c r="F44" s="179"/>
      <c r="G44" s="22"/>
      <c r="H44" s="22"/>
      <c r="I44" s="22"/>
      <c r="J44" s="22"/>
      <c r="K44" s="22"/>
      <c r="L44" s="22"/>
      <c r="M44" s="22"/>
      <c r="N44" s="22"/>
      <c r="O44" s="22"/>
      <c r="P44" s="22"/>
    </row>
    <row r="45" spans="1:49" ht="20.149999999999999" customHeight="1" x14ac:dyDescent="0.4">
      <c r="A45" s="285" t="s">
        <v>278</v>
      </c>
      <c r="B45" s="286"/>
      <c r="C45" s="286"/>
      <c r="D45" s="286"/>
      <c r="E45" s="286"/>
      <c r="F45" s="286"/>
      <c r="G45" s="286"/>
      <c r="H45" s="286"/>
      <c r="I45" s="286"/>
      <c r="J45" s="286"/>
      <c r="K45" s="286"/>
      <c r="L45" s="286"/>
      <c r="M45" s="286"/>
      <c r="N45" s="286"/>
      <c r="O45" s="286"/>
      <c r="P45" s="286"/>
    </row>
    <row r="46" spans="1:49" x14ac:dyDescent="0.35">
      <c r="A46" s="182" t="str">
        <f>"SUP Cost by Stream - Year "&amp;'Units and Governance'!B14&amp;" ("&amp;'Units and Governance'!B5&amp;")"</f>
        <v>SUP Cost by Stream - Year 2010 (CAD)</v>
      </c>
      <c r="B46" s="182"/>
      <c r="C46" s="182"/>
      <c r="D46" s="182"/>
      <c r="E46" s="182"/>
      <c r="F46" s="182"/>
      <c r="G46" s="182"/>
      <c r="H46" s="182" t="str">
        <f>"SUP Cost by Stream - Year "&amp;'Units and Governance'!B15&amp;" ("&amp;'Units and Governance'!B5&amp;")"</f>
        <v>SUP Cost by Stream - Year 2026 (CAD)</v>
      </c>
      <c r="I46" s="182"/>
      <c r="J46" s="182"/>
      <c r="K46" s="182"/>
      <c r="M46" s="93"/>
      <c r="N46" s="93"/>
      <c r="O46" s="95"/>
      <c r="P46" s="95"/>
    </row>
    <row r="47" spans="1:49" ht="20.149999999999999" customHeight="1" x14ac:dyDescent="0.4">
      <c r="A47" s="168"/>
      <c r="E47" s="93"/>
      <c r="F47" s="93"/>
      <c r="G47" s="93"/>
      <c r="H47" s="93"/>
      <c r="I47" s="93"/>
      <c r="J47" s="93"/>
      <c r="K47" s="93"/>
      <c r="L47" s="93"/>
      <c r="M47" s="93"/>
      <c r="N47" s="93"/>
      <c r="O47"/>
      <c r="P47"/>
    </row>
    <row r="48" spans="1:49" ht="20.149999999999999" customHeight="1" x14ac:dyDescent="0.35">
      <c r="F48"/>
      <c r="O48"/>
      <c r="P48"/>
      <c r="S48" t="s">
        <v>332</v>
      </c>
      <c r="T48" t="s">
        <v>333</v>
      </c>
      <c r="U48" t="s">
        <v>334</v>
      </c>
      <c r="V48" t="s">
        <v>335</v>
      </c>
      <c r="W48" t="s">
        <v>336</v>
      </c>
      <c r="X48" t="s">
        <v>337</v>
      </c>
      <c r="Y48" t="s">
        <v>338</v>
      </c>
      <c r="Z48" t="s">
        <v>339</v>
      </c>
      <c r="AA48" t="s">
        <v>167</v>
      </c>
      <c r="AB48" t="s">
        <v>168</v>
      </c>
      <c r="AC48" t="s">
        <v>169</v>
      </c>
      <c r="AD48" t="s">
        <v>340</v>
      </c>
      <c r="AE48" t="s">
        <v>333</v>
      </c>
      <c r="AF48" t="s">
        <v>340</v>
      </c>
      <c r="AG48" t="s">
        <v>334</v>
      </c>
      <c r="AH48" t="s">
        <v>340</v>
      </c>
      <c r="AI48" t="s">
        <v>335</v>
      </c>
      <c r="AJ48" t="s">
        <v>340</v>
      </c>
      <c r="AK48" t="s">
        <v>336</v>
      </c>
      <c r="AL48" t="s">
        <v>340</v>
      </c>
      <c r="AM48" t="s">
        <v>337</v>
      </c>
      <c r="AN48" t="s">
        <v>340</v>
      </c>
      <c r="AO48" t="s">
        <v>338</v>
      </c>
      <c r="AP48" t="s">
        <v>340</v>
      </c>
      <c r="AQ48" t="s">
        <v>339</v>
      </c>
      <c r="AR48" t="s">
        <v>340</v>
      </c>
      <c r="AS48" t="s">
        <v>167</v>
      </c>
      <c r="AT48" t="s">
        <v>340</v>
      </c>
      <c r="AU48" t="s">
        <v>168</v>
      </c>
      <c r="AV48" t="s">
        <v>340</v>
      </c>
      <c r="AW48" t="s">
        <v>169</v>
      </c>
    </row>
    <row r="49" spans="1:49" ht="20.149999999999999" customHeight="1" x14ac:dyDescent="0.35">
      <c r="F49"/>
      <c r="O49"/>
      <c r="P49"/>
      <c r="S49">
        <f>B22</f>
        <v>0</v>
      </c>
      <c r="T49">
        <f>B23</f>
        <v>0</v>
      </c>
      <c r="U49">
        <f>B24</f>
        <v>0</v>
      </c>
      <c r="V49">
        <f>B25</f>
        <v>0</v>
      </c>
      <c r="W49">
        <f>B26</f>
        <v>0</v>
      </c>
      <c r="X49">
        <f>B27</f>
        <v>0</v>
      </c>
      <c r="Y49">
        <f>B28</f>
        <v>0</v>
      </c>
      <c r="Z49">
        <f>B29</f>
        <v>0</v>
      </c>
      <c r="AA49">
        <f>B30</f>
        <v>0</v>
      </c>
      <c r="AB49">
        <f>B31</f>
        <v>0</v>
      </c>
      <c r="AC49">
        <f>B32</f>
        <v>0</v>
      </c>
      <c r="AD49" t="s">
        <v>341</v>
      </c>
      <c r="AE49">
        <f>B23</f>
        <v>0</v>
      </c>
      <c r="AF49" t="s">
        <v>341</v>
      </c>
      <c r="AG49">
        <f>B24</f>
        <v>0</v>
      </c>
      <c r="AH49" t="s">
        <v>341</v>
      </c>
      <c r="AI49">
        <f>B25</f>
        <v>0</v>
      </c>
      <c r="AJ49" t="s">
        <v>341</v>
      </c>
      <c r="AK49">
        <f>B26</f>
        <v>0</v>
      </c>
      <c r="AL49" t="s">
        <v>341</v>
      </c>
      <c r="AM49">
        <f>B27</f>
        <v>0</v>
      </c>
      <c r="AN49" t="s">
        <v>341</v>
      </c>
      <c r="AO49">
        <f>B28</f>
        <v>0</v>
      </c>
      <c r="AP49" t="s">
        <v>341</v>
      </c>
      <c r="AQ49">
        <f>B29</f>
        <v>0</v>
      </c>
      <c r="AR49" t="s">
        <v>341</v>
      </c>
      <c r="AS49">
        <f>B30</f>
        <v>0</v>
      </c>
      <c r="AT49" t="s">
        <v>341</v>
      </c>
      <c r="AU49">
        <f>B31</f>
        <v>0</v>
      </c>
      <c r="AV49" t="s">
        <v>341</v>
      </c>
      <c r="AW49">
        <f>B32</f>
        <v>0</v>
      </c>
    </row>
    <row r="50" spans="1:49" ht="20.149999999999999" customHeight="1" x14ac:dyDescent="0.35">
      <c r="F50"/>
      <c r="O50"/>
      <c r="P50"/>
      <c r="S50">
        <f>C22</f>
        <v>0</v>
      </c>
      <c r="T50">
        <f>C23</f>
        <v>0</v>
      </c>
      <c r="U50">
        <f>C24</f>
        <v>0</v>
      </c>
      <c r="V50">
        <f>C25</f>
        <v>0</v>
      </c>
      <c r="W50">
        <f>C26</f>
        <v>0</v>
      </c>
      <c r="X50">
        <f>C27</f>
        <v>0</v>
      </c>
      <c r="Y50">
        <f>C28</f>
        <v>0</v>
      </c>
      <c r="Z50">
        <f>C29</f>
        <v>0</v>
      </c>
      <c r="AA50">
        <f>C30</f>
        <v>0</v>
      </c>
      <c r="AB50">
        <f>C31</f>
        <v>0</v>
      </c>
      <c r="AC50">
        <f>C32</f>
        <v>0</v>
      </c>
      <c r="AD50" t="s">
        <v>342</v>
      </c>
      <c r="AE50">
        <f>C23</f>
        <v>0</v>
      </c>
      <c r="AF50" t="s">
        <v>342</v>
      </c>
      <c r="AG50">
        <f>C24</f>
        <v>0</v>
      </c>
      <c r="AH50" t="s">
        <v>342</v>
      </c>
      <c r="AI50">
        <f>C25</f>
        <v>0</v>
      </c>
      <c r="AJ50" t="s">
        <v>342</v>
      </c>
      <c r="AK50">
        <f>C26</f>
        <v>0</v>
      </c>
      <c r="AL50" t="s">
        <v>342</v>
      </c>
      <c r="AM50">
        <f>C27</f>
        <v>0</v>
      </c>
      <c r="AN50" t="s">
        <v>342</v>
      </c>
      <c r="AO50">
        <f>C28</f>
        <v>0</v>
      </c>
      <c r="AP50" t="s">
        <v>342</v>
      </c>
      <c r="AQ50">
        <f>C29</f>
        <v>0</v>
      </c>
      <c r="AR50" t="s">
        <v>342</v>
      </c>
      <c r="AS50">
        <f>C30</f>
        <v>0</v>
      </c>
      <c r="AT50" t="s">
        <v>342</v>
      </c>
      <c r="AU50">
        <f>C31</f>
        <v>0</v>
      </c>
      <c r="AV50" t="s">
        <v>342</v>
      </c>
      <c r="AW50">
        <f>C32</f>
        <v>0</v>
      </c>
    </row>
    <row r="51" spans="1:49" ht="20.149999999999999" customHeight="1" x14ac:dyDescent="0.35">
      <c r="F51"/>
      <c r="O51"/>
      <c r="P51"/>
      <c r="S51">
        <f>D22</f>
        <v>0</v>
      </c>
      <c r="T51">
        <f>D23</f>
        <v>0</v>
      </c>
      <c r="U51">
        <f>D24</f>
        <v>0</v>
      </c>
      <c r="V51">
        <f>D25</f>
        <v>0</v>
      </c>
      <c r="W51">
        <f>D26</f>
        <v>0</v>
      </c>
      <c r="X51">
        <f>D27</f>
        <v>0</v>
      </c>
      <c r="Y51">
        <f>D28</f>
        <v>0</v>
      </c>
      <c r="Z51">
        <f>D29</f>
        <v>0</v>
      </c>
      <c r="AA51">
        <f>D30</f>
        <v>0</v>
      </c>
      <c r="AB51">
        <f>D31</f>
        <v>0</v>
      </c>
      <c r="AC51">
        <f>D32</f>
        <v>0</v>
      </c>
      <c r="AD51" t="s">
        <v>343</v>
      </c>
      <c r="AE51">
        <f>D23</f>
        <v>0</v>
      </c>
      <c r="AF51" t="s">
        <v>343</v>
      </c>
      <c r="AG51">
        <f>D24</f>
        <v>0</v>
      </c>
      <c r="AH51" t="s">
        <v>343</v>
      </c>
      <c r="AI51">
        <f>D25</f>
        <v>0</v>
      </c>
      <c r="AJ51" t="s">
        <v>343</v>
      </c>
      <c r="AK51">
        <f>D26</f>
        <v>0</v>
      </c>
      <c r="AL51" t="s">
        <v>343</v>
      </c>
      <c r="AM51">
        <f>D27</f>
        <v>0</v>
      </c>
      <c r="AN51" t="s">
        <v>343</v>
      </c>
      <c r="AO51">
        <f>D28</f>
        <v>0</v>
      </c>
      <c r="AP51" t="s">
        <v>343</v>
      </c>
      <c r="AQ51">
        <f>D29</f>
        <v>0</v>
      </c>
      <c r="AR51" t="s">
        <v>343</v>
      </c>
      <c r="AS51">
        <f>D30</f>
        <v>0</v>
      </c>
      <c r="AT51" t="s">
        <v>343</v>
      </c>
      <c r="AU51">
        <f>D31</f>
        <v>0</v>
      </c>
      <c r="AV51" t="s">
        <v>343</v>
      </c>
      <c r="AW51">
        <f>D32</f>
        <v>0</v>
      </c>
    </row>
    <row r="52" spans="1:49" ht="20.149999999999999" customHeight="1" x14ac:dyDescent="0.35">
      <c r="F52"/>
      <c r="O52"/>
      <c r="P52"/>
      <c r="R52" t="s">
        <v>344</v>
      </c>
      <c r="S52">
        <f>E22</f>
        <v>0</v>
      </c>
      <c r="T52">
        <f>E23</f>
        <v>0</v>
      </c>
      <c r="U52">
        <f>E24</f>
        <v>0</v>
      </c>
      <c r="V52">
        <f>E25</f>
        <v>0</v>
      </c>
      <c r="W52">
        <f>E26</f>
        <v>0</v>
      </c>
      <c r="X52">
        <f>E27</f>
        <v>0</v>
      </c>
      <c r="Y52">
        <f>E28</f>
        <v>0</v>
      </c>
      <c r="Z52">
        <f>E29</f>
        <v>0</v>
      </c>
      <c r="AA52">
        <f>E30</f>
        <v>0</v>
      </c>
      <c r="AB52">
        <f>E31</f>
        <v>0</v>
      </c>
      <c r="AC52">
        <f>E32</f>
        <v>0</v>
      </c>
      <c r="AD52" t="s">
        <v>344</v>
      </c>
      <c r="AE52">
        <f>E23</f>
        <v>0</v>
      </c>
      <c r="AF52" t="s">
        <v>344</v>
      </c>
      <c r="AG52">
        <f>E24</f>
        <v>0</v>
      </c>
      <c r="AH52" t="s">
        <v>344</v>
      </c>
      <c r="AI52">
        <f>E25</f>
        <v>0</v>
      </c>
      <c r="AJ52" t="s">
        <v>344</v>
      </c>
      <c r="AK52">
        <f>E26</f>
        <v>0</v>
      </c>
      <c r="AL52" t="s">
        <v>344</v>
      </c>
      <c r="AM52">
        <f>E27</f>
        <v>0</v>
      </c>
      <c r="AN52" t="s">
        <v>344</v>
      </c>
      <c r="AO52">
        <f>E28</f>
        <v>0</v>
      </c>
      <c r="AP52" t="s">
        <v>344</v>
      </c>
      <c r="AQ52">
        <f>E29</f>
        <v>0</v>
      </c>
      <c r="AR52" t="s">
        <v>344</v>
      </c>
      <c r="AS52">
        <f>E30</f>
        <v>0</v>
      </c>
      <c r="AT52" t="s">
        <v>344</v>
      </c>
      <c r="AU52">
        <f>E31</f>
        <v>0</v>
      </c>
      <c r="AV52" t="s">
        <v>344</v>
      </c>
      <c r="AW52">
        <f>E32</f>
        <v>0</v>
      </c>
    </row>
    <row r="53" spans="1:49" x14ac:dyDescent="0.35">
      <c r="F53"/>
      <c r="O53"/>
      <c r="P53"/>
      <c r="R53" t="s">
        <v>184</v>
      </c>
      <c r="S53">
        <f>F22</f>
        <v>0</v>
      </c>
      <c r="T53">
        <f>F23</f>
        <v>0</v>
      </c>
      <c r="U53">
        <f>F24</f>
        <v>0</v>
      </c>
      <c r="V53">
        <f>F25</f>
        <v>0</v>
      </c>
      <c r="W53">
        <f>F26</f>
        <v>0</v>
      </c>
      <c r="X53">
        <f>F27</f>
        <v>0</v>
      </c>
      <c r="Y53">
        <f>F28</f>
        <v>0</v>
      </c>
      <c r="Z53">
        <f>F29</f>
        <v>0</v>
      </c>
      <c r="AA53">
        <f>F30</f>
        <v>0</v>
      </c>
      <c r="AB53">
        <f>F31</f>
        <v>0</v>
      </c>
      <c r="AC53">
        <f>F32</f>
        <v>0</v>
      </c>
      <c r="AD53" t="s">
        <v>184</v>
      </c>
      <c r="AE53">
        <f>F23</f>
        <v>0</v>
      </c>
      <c r="AF53" t="s">
        <v>184</v>
      </c>
      <c r="AG53">
        <f>F24</f>
        <v>0</v>
      </c>
      <c r="AH53" t="s">
        <v>184</v>
      </c>
      <c r="AI53">
        <f>F25</f>
        <v>0</v>
      </c>
      <c r="AJ53" t="s">
        <v>184</v>
      </c>
      <c r="AK53">
        <f>F26</f>
        <v>0</v>
      </c>
      <c r="AL53" t="s">
        <v>184</v>
      </c>
      <c r="AM53">
        <f>F27</f>
        <v>0</v>
      </c>
      <c r="AN53" t="s">
        <v>184</v>
      </c>
      <c r="AO53">
        <f>F28</f>
        <v>0</v>
      </c>
      <c r="AP53" t="s">
        <v>184</v>
      </c>
      <c r="AQ53">
        <f>F29</f>
        <v>0</v>
      </c>
      <c r="AR53" t="s">
        <v>184</v>
      </c>
      <c r="AS53">
        <f>F30</f>
        <v>0</v>
      </c>
      <c r="AT53" t="s">
        <v>184</v>
      </c>
      <c r="AU53">
        <f>F31</f>
        <v>0</v>
      </c>
      <c r="AV53" t="s">
        <v>184</v>
      </c>
      <c r="AW53">
        <f>F32</f>
        <v>0</v>
      </c>
    </row>
    <row r="54" spans="1:49" x14ac:dyDescent="0.35">
      <c r="F54"/>
      <c r="O54"/>
      <c r="P54"/>
    </row>
    <row r="55" spans="1:49" x14ac:dyDescent="0.35">
      <c r="F55"/>
      <c r="O55"/>
      <c r="P55"/>
    </row>
    <row r="56" spans="1:49" x14ac:dyDescent="0.35">
      <c r="F56"/>
      <c r="O56"/>
      <c r="P56"/>
    </row>
    <row r="57" spans="1:49" ht="16" x14ac:dyDescent="0.4">
      <c r="A57" s="180"/>
      <c r="F57"/>
      <c r="O57"/>
      <c r="P57"/>
    </row>
    <row r="58" spans="1:49" x14ac:dyDescent="0.35">
      <c r="A58" s="162"/>
      <c r="F58"/>
      <c r="O58"/>
      <c r="P58"/>
    </row>
    <row r="59" spans="1:49" x14ac:dyDescent="0.35">
      <c r="F59"/>
      <c r="O59"/>
      <c r="P59"/>
    </row>
    <row r="60" spans="1:49" x14ac:dyDescent="0.35">
      <c r="F60"/>
      <c r="O60"/>
      <c r="P60"/>
    </row>
    <row r="61" spans="1:49" ht="16" x14ac:dyDescent="0.4">
      <c r="A61" s="168"/>
      <c r="F61"/>
      <c r="O61"/>
      <c r="P61"/>
    </row>
    <row r="62" spans="1:49" x14ac:dyDescent="0.35">
      <c r="A62" s="169"/>
      <c r="F62"/>
      <c r="O62"/>
      <c r="P62"/>
    </row>
    <row r="63" spans="1:49" x14ac:dyDescent="0.35">
      <c r="A63" s="197" t="str">
        <f>"SUP Weight by Stream - Year "&amp;'Units and Governance'!B14&amp;" (kg)"</f>
        <v>SUP Weight by Stream - Year 2010 (kg)</v>
      </c>
      <c r="F63"/>
      <c r="H63" s="197" t="str">
        <f>"SUP Weight by Stream - Year "&amp;'Units and Governance'!B15&amp;" (kg)"</f>
        <v>SUP Weight by Stream - Year 2026 (kg)</v>
      </c>
      <c r="O63"/>
      <c r="P63"/>
    </row>
    <row r="64" spans="1:49" x14ac:dyDescent="0.35">
      <c r="F64"/>
      <c r="O64"/>
      <c r="P64"/>
    </row>
    <row r="65" spans="1:16" x14ac:dyDescent="0.35">
      <c r="F65"/>
      <c r="O65"/>
      <c r="P65"/>
    </row>
    <row r="66" spans="1:16" x14ac:dyDescent="0.35">
      <c r="F66"/>
      <c r="O66"/>
      <c r="P66"/>
    </row>
    <row r="67" spans="1:16" x14ac:dyDescent="0.35">
      <c r="F67"/>
      <c r="O67"/>
      <c r="P67"/>
    </row>
    <row r="68" spans="1:16" x14ac:dyDescent="0.35">
      <c r="F68"/>
      <c r="O68"/>
      <c r="P68"/>
    </row>
    <row r="69" spans="1:16" ht="16" x14ac:dyDescent="0.4">
      <c r="A69" s="284"/>
      <c r="B69" s="284"/>
      <c r="C69" s="284"/>
      <c r="D69" s="284"/>
      <c r="E69" s="284"/>
      <c r="F69" s="284"/>
      <c r="G69" s="284"/>
      <c r="H69" s="284"/>
      <c r="I69" s="284"/>
      <c r="J69" s="284"/>
      <c r="K69" s="284"/>
      <c r="L69" s="284"/>
      <c r="M69" s="284"/>
      <c r="N69" s="284"/>
      <c r="O69" s="284"/>
      <c r="P69" s="284"/>
    </row>
    <row r="70" spans="1:16" x14ac:dyDescent="0.35">
      <c r="F70"/>
      <c r="O70"/>
      <c r="P70"/>
    </row>
    <row r="71" spans="1:16" ht="16" x14ac:dyDescent="0.4">
      <c r="A71" s="277"/>
      <c r="B71" s="283"/>
      <c r="C71" s="283"/>
      <c r="D71" s="283"/>
      <c r="E71" s="283"/>
      <c r="F71" s="283"/>
      <c r="G71" s="283"/>
      <c r="H71" s="283"/>
      <c r="O71"/>
      <c r="P71"/>
    </row>
    <row r="72" spans="1:16" hidden="1" x14ac:dyDescent="0.35">
      <c r="F72"/>
      <c r="O72"/>
      <c r="P72"/>
    </row>
    <row r="73" spans="1:16" x14ac:dyDescent="0.35">
      <c r="F73"/>
      <c r="O73"/>
      <c r="P73"/>
    </row>
    <row r="74" spans="1:16" x14ac:dyDescent="0.35">
      <c r="F74"/>
      <c r="O74"/>
      <c r="P74"/>
    </row>
    <row r="75" spans="1:16" x14ac:dyDescent="0.35">
      <c r="F75"/>
      <c r="O75"/>
      <c r="P75"/>
    </row>
    <row r="76" spans="1:16" x14ac:dyDescent="0.35">
      <c r="F76"/>
      <c r="O76"/>
      <c r="P76"/>
    </row>
    <row r="77" spans="1:16" x14ac:dyDescent="0.35">
      <c r="F77"/>
      <c r="O77"/>
      <c r="P77"/>
    </row>
    <row r="78" spans="1:16" x14ac:dyDescent="0.35">
      <c r="F78"/>
      <c r="O78"/>
      <c r="P78"/>
    </row>
    <row r="79" spans="1:16" x14ac:dyDescent="0.35">
      <c r="F79"/>
      <c r="O79"/>
      <c r="P79"/>
    </row>
    <row r="80" spans="1:16" ht="20.399999999999999" customHeight="1" x14ac:dyDescent="0.35">
      <c r="F80"/>
      <c r="O80"/>
      <c r="P80"/>
    </row>
    <row r="81" spans="1:16" s="182" customFormat="1" x14ac:dyDescent="0.35">
      <c r="A81" s="182" t="str">
        <f>"Per Capita SUP Weight by Stream - Year "&amp;'Units and Governance'!B14&amp;" (kg/person)"</f>
        <v>Per Capita SUP Weight by Stream - Year 2010 (kg/person)</v>
      </c>
      <c r="F81" s="202"/>
      <c r="H81" s="182" t="str">
        <f>"Per Capita SUP Weight by Stream - Year "&amp;'Units and Governance'!B15&amp;" (kg/person)"</f>
        <v>Per Capita SUP Weight by Stream - Year 2026 (kg/person)</v>
      </c>
    </row>
    <row r="82" spans="1:16" x14ac:dyDescent="0.35">
      <c r="O82"/>
      <c r="P82"/>
    </row>
    <row r="83" spans="1:16" ht="16" x14ac:dyDescent="0.4">
      <c r="A83" s="277"/>
      <c r="B83" s="277"/>
      <c r="C83" s="277"/>
      <c r="D83" s="277"/>
      <c r="E83" s="277"/>
      <c r="F83" s="277"/>
      <c r="G83" s="277"/>
      <c r="H83" s="277"/>
      <c r="I83" s="277"/>
      <c r="J83" s="277"/>
      <c r="K83" s="277"/>
      <c r="L83" s="277"/>
      <c r="M83" s="277"/>
      <c r="N83" s="277"/>
      <c r="O83" s="277"/>
      <c r="P83" s="277"/>
    </row>
    <row r="84" spans="1:16" x14ac:dyDescent="0.35">
      <c r="A84" s="278"/>
      <c r="B84" s="278"/>
      <c r="C84" s="278"/>
      <c r="D84" s="278"/>
      <c r="E84" s="278"/>
      <c r="F84" s="278"/>
      <c r="G84" s="278"/>
      <c r="H84" s="278"/>
      <c r="I84" s="278"/>
      <c r="J84" s="278"/>
      <c r="K84" s="278"/>
      <c r="L84" s="278"/>
      <c r="M84" s="278"/>
      <c r="N84" s="278"/>
      <c r="O84" s="278"/>
      <c r="P84" s="278"/>
    </row>
    <row r="85" spans="1:16" x14ac:dyDescent="0.35">
      <c r="O85"/>
      <c r="P85"/>
    </row>
    <row r="86" spans="1:16" x14ac:dyDescent="0.35">
      <c r="O86"/>
      <c r="P86"/>
    </row>
    <row r="87" spans="1:16" x14ac:dyDescent="0.35">
      <c r="O87"/>
      <c r="P87"/>
    </row>
    <row r="88" spans="1:16" x14ac:dyDescent="0.35">
      <c r="O88"/>
      <c r="P88"/>
    </row>
    <row r="89" spans="1:16" x14ac:dyDescent="0.35">
      <c r="O89"/>
      <c r="P89"/>
    </row>
    <row r="90" spans="1:16" x14ac:dyDescent="0.35">
      <c r="O90"/>
      <c r="P90"/>
    </row>
    <row r="91" spans="1:16" x14ac:dyDescent="0.35">
      <c r="O91"/>
      <c r="P91"/>
    </row>
    <row r="92" spans="1:16" x14ac:dyDescent="0.35">
      <c r="O92"/>
      <c r="P92"/>
    </row>
    <row r="93" spans="1:16" x14ac:dyDescent="0.35">
      <c r="O93"/>
      <c r="P93"/>
    </row>
    <row r="94" spans="1:16" x14ac:dyDescent="0.35">
      <c r="O94"/>
      <c r="P94"/>
    </row>
    <row r="95" spans="1:16" x14ac:dyDescent="0.35">
      <c r="O95"/>
      <c r="P95"/>
    </row>
    <row r="96" spans="1:16" x14ac:dyDescent="0.35">
      <c r="O96"/>
      <c r="P96"/>
    </row>
    <row r="97" spans="1:16" x14ac:dyDescent="0.35">
      <c r="O97"/>
      <c r="P97"/>
    </row>
    <row r="98" spans="1:16" x14ac:dyDescent="0.35">
      <c r="O98"/>
      <c r="P98"/>
    </row>
    <row r="99" spans="1:16" x14ac:dyDescent="0.35">
      <c r="O99"/>
      <c r="P99"/>
    </row>
    <row r="100" spans="1:16" x14ac:dyDescent="0.35">
      <c r="O100"/>
      <c r="P100"/>
    </row>
    <row r="101" spans="1:16" x14ac:dyDescent="0.35">
      <c r="A101" s="182" t="str">
        <f>"PIE CHARTS - SUP COST DISTRIBUTION BY STREAM - Year "&amp;'Units and Governance'!B14&amp;" ("&amp;'Units and Governance'!B5&amp;")"</f>
        <v>PIE CHARTS - SUP COST DISTRIBUTION BY STREAM - Year 2010 (CAD)</v>
      </c>
      <c r="B101" s="182"/>
      <c r="C101" s="182"/>
      <c r="O101"/>
      <c r="P101"/>
    </row>
    <row r="102" spans="1:16" x14ac:dyDescent="0.35">
      <c r="O102"/>
      <c r="P102"/>
    </row>
    <row r="103" spans="1:16" x14ac:dyDescent="0.35">
      <c r="O103"/>
      <c r="P103"/>
    </row>
    <row r="104" spans="1:16" x14ac:dyDescent="0.35">
      <c r="O104"/>
      <c r="P104"/>
    </row>
    <row r="105" spans="1:16" x14ac:dyDescent="0.35">
      <c r="O105"/>
      <c r="P105"/>
    </row>
    <row r="106" spans="1:16" x14ac:dyDescent="0.35">
      <c r="O106"/>
      <c r="P106"/>
    </row>
    <row r="107" spans="1:16" x14ac:dyDescent="0.35">
      <c r="O107"/>
      <c r="P107"/>
    </row>
    <row r="108" spans="1:16" x14ac:dyDescent="0.35">
      <c r="O108"/>
      <c r="P108"/>
    </row>
    <row r="109" spans="1:16" x14ac:dyDescent="0.35">
      <c r="O109"/>
      <c r="P109"/>
    </row>
    <row r="110" spans="1:16" x14ac:dyDescent="0.35">
      <c r="O110"/>
      <c r="P110"/>
    </row>
    <row r="111" spans="1:16" x14ac:dyDescent="0.35">
      <c r="O111"/>
      <c r="P111"/>
    </row>
    <row r="112" spans="1:16" x14ac:dyDescent="0.35">
      <c r="O112"/>
      <c r="P112"/>
    </row>
    <row r="113" spans="15:16" x14ac:dyDescent="0.35">
      <c r="O113"/>
      <c r="P113"/>
    </row>
    <row r="114" spans="15:16" x14ac:dyDescent="0.35">
      <c r="O114"/>
      <c r="P114"/>
    </row>
    <row r="115" spans="15:16" x14ac:dyDescent="0.35">
      <c r="O115"/>
      <c r="P115"/>
    </row>
    <row r="116" spans="15:16" x14ac:dyDescent="0.35">
      <c r="O116"/>
      <c r="P116"/>
    </row>
    <row r="117" spans="15:16" x14ac:dyDescent="0.35">
      <c r="O117"/>
      <c r="P117"/>
    </row>
    <row r="118" spans="15:16" x14ac:dyDescent="0.35">
      <c r="O118"/>
      <c r="P118"/>
    </row>
    <row r="119" spans="15:16" x14ac:dyDescent="0.35">
      <c r="O119"/>
      <c r="P119"/>
    </row>
    <row r="120" spans="15:16" x14ac:dyDescent="0.35">
      <c r="O120"/>
      <c r="P120"/>
    </row>
    <row r="121" spans="15:16" x14ac:dyDescent="0.35">
      <c r="O121"/>
      <c r="P121"/>
    </row>
    <row r="122" spans="15:16" x14ac:dyDescent="0.35">
      <c r="O122"/>
      <c r="P122"/>
    </row>
    <row r="123" spans="15:16" x14ac:dyDescent="0.35">
      <c r="O123"/>
      <c r="P123"/>
    </row>
    <row r="124" spans="15:16" x14ac:dyDescent="0.35">
      <c r="O124"/>
      <c r="P124"/>
    </row>
    <row r="125" spans="15:16" x14ac:dyDescent="0.35">
      <c r="O125"/>
      <c r="P125"/>
    </row>
    <row r="165" spans="1:16" x14ac:dyDescent="0.35">
      <c r="A165" s="182" t="str">
        <f>"PIE CHARTS - SUP COST DISTRIBUTION BY STREAM - Year "&amp;'Units and Governance'!B15&amp;" ("&amp;'Units and Governance'!B5&amp;")"</f>
        <v>PIE CHARTS - SUP COST DISTRIBUTION BY STREAM - Year 2026 (CAD)</v>
      </c>
      <c r="B165" s="182"/>
      <c r="C165" s="182"/>
      <c r="O165"/>
      <c r="P165"/>
    </row>
  </sheetData>
  <sheetProtection sheet="1" objects="1" scenarios="1"/>
  <mergeCells count="12">
    <mergeCell ref="A83:P83"/>
    <mergeCell ref="A84:P84"/>
    <mergeCell ref="A36:F36"/>
    <mergeCell ref="A1:P1"/>
    <mergeCell ref="A4:H4"/>
    <mergeCell ref="J4:P4"/>
    <mergeCell ref="A20:H20"/>
    <mergeCell ref="J20:P20"/>
    <mergeCell ref="A2:H2"/>
    <mergeCell ref="A71:H71"/>
    <mergeCell ref="A69:P69"/>
    <mergeCell ref="A45:P4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26EC-79A8-42DF-AEDF-1A4CB7F02143}">
  <sheetPr>
    <tabColor rgb="FFD3D3D3"/>
  </sheetPr>
  <dimension ref="A1:C38"/>
  <sheetViews>
    <sheetView showGridLines="0" zoomScale="74" zoomScaleNormal="115" workbookViewId="0">
      <selection activeCell="B24" sqref="B24"/>
    </sheetView>
  </sheetViews>
  <sheetFormatPr defaultRowHeight="14.5" x14ac:dyDescent="0.35"/>
  <cols>
    <col min="1" max="1" width="50.90625" style="1" customWidth="1"/>
    <col min="2" max="2" width="33.54296875" customWidth="1"/>
    <col min="3" max="3" width="102.90625" customWidth="1"/>
  </cols>
  <sheetData>
    <row r="1" spans="1:3" ht="30" customHeight="1" x14ac:dyDescent="0.5">
      <c r="A1" s="287" t="s">
        <v>345</v>
      </c>
      <c r="B1" s="286"/>
      <c r="C1" s="286"/>
    </row>
    <row r="2" spans="1:3" x14ac:dyDescent="0.35">
      <c r="A2" s="278" t="s">
        <v>346</v>
      </c>
      <c r="B2" s="296"/>
      <c r="C2" s="296"/>
    </row>
    <row r="3" spans="1:3" ht="21.9" customHeight="1" x14ac:dyDescent="0.35">
      <c r="A3" s="288" t="s">
        <v>347</v>
      </c>
      <c r="B3" s="288"/>
      <c r="C3" s="288"/>
    </row>
    <row r="4" spans="1:3" ht="20.149999999999999" customHeight="1" x14ac:dyDescent="0.35">
      <c r="A4" s="293" t="s">
        <v>348</v>
      </c>
      <c r="B4" s="294"/>
      <c r="C4" s="295"/>
    </row>
    <row r="5" spans="1:3" s="5" customFormat="1" ht="20.149999999999999" customHeight="1" x14ac:dyDescent="0.35">
      <c r="A5" s="294" t="s">
        <v>349</v>
      </c>
      <c r="B5" s="294"/>
      <c r="C5" s="295"/>
    </row>
    <row r="6" spans="1:3" ht="20.149999999999999" customHeight="1" x14ac:dyDescent="0.35">
      <c r="A6" s="291" t="s">
        <v>350</v>
      </c>
      <c r="B6" s="291"/>
      <c r="C6" s="292"/>
    </row>
    <row r="7" spans="1:3" ht="20.149999999999999" customHeight="1" x14ac:dyDescent="0.35">
      <c r="A7" s="294" t="s">
        <v>351</v>
      </c>
      <c r="B7" s="294"/>
      <c r="C7" s="295"/>
    </row>
    <row r="8" spans="1:3" x14ac:dyDescent="0.35">
      <c r="A8" s="7"/>
      <c r="B8" s="7"/>
      <c r="C8" s="63"/>
    </row>
    <row r="9" spans="1:3" ht="21.9" customHeight="1" x14ac:dyDescent="0.35">
      <c r="A9" s="288" t="s">
        <v>352</v>
      </c>
      <c r="B9" s="288"/>
      <c r="C9" s="289"/>
    </row>
    <row r="10" spans="1:3" ht="20.149999999999999" customHeight="1" x14ac:dyDescent="0.35">
      <c r="A10" s="56" t="s">
        <v>172</v>
      </c>
      <c r="B10" s="57" t="s">
        <v>353</v>
      </c>
      <c r="C10" s="58" t="s">
        <v>354</v>
      </c>
    </row>
    <row r="11" spans="1:3" ht="20.149999999999999" customHeight="1" x14ac:dyDescent="0.35">
      <c r="A11" s="64" t="s">
        <v>355</v>
      </c>
      <c r="B11" s="67">
        <v>0.23</v>
      </c>
      <c r="C11" s="84" t="s">
        <v>356</v>
      </c>
    </row>
    <row r="12" spans="1:3" ht="20.149999999999999" customHeight="1" x14ac:dyDescent="0.35">
      <c r="A12" s="64" t="s">
        <v>357</v>
      </c>
      <c r="B12" s="67">
        <v>0.33</v>
      </c>
      <c r="C12" s="84" t="s">
        <v>356</v>
      </c>
    </row>
    <row r="13" spans="1:3" ht="20.149999999999999" customHeight="1" x14ac:dyDescent="0.35">
      <c r="A13" s="65" t="s">
        <v>358</v>
      </c>
      <c r="B13" s="68">
        <v>0.27</v>
      </c>
      <c r="C13" s="85" t="s">
        <v>356</v>
      </c>
    </row>
    <row r="14" spans="1:3" x14ac:dyDescent="0.35">
      <c r="A14" s="7"/>
      <c r="B14" s="66"/>
      <c r="C14" s="63"/>
    </row>
    <row r="15" spans="1:3" s="5" customFormat="1" ht="21.9" customHeight="1" x14ac:dyDescent="0.35">
      <c r="A15" s="288" t="s">
        <v>359</v>
      </c>
      <c r="B15" s="290"/>
      <c r="C15" s="289"/>
    </row>
    <row r="16" spans="1:3" ht="20.149999999999999" customHeight="1" x14ac:dyDescent="0.35">
      <c r="A16" s="56" t="s">
        <v>254</v>
      </c>
      <c r="B16" s="57" t="s">
        <v>214</v>
      </c>
      <c r="C16" s="58" t="s">
        <v>354</v>
      </c>
    </row>
    <row r="17" spans="1:3" ht="20.149999999999999" customHeight="1" x14ac:dyDescent="0.35">
      <c r="A17" s="64" t="s">
        <v>360</v>
      </c>
      <c r="B17" s="69">
        <v>0.15</v>
      </c>
      <c r="C17" s="84" t="s">
        <v>361</v>
      </c>
    </row>
    <row r="18" spans="1:3" ht="20.149999999999999" customHeight="1" x14ac:dyDescent="0.35">
      <c r="A18" s="64" t="s">
        <v>362</v>
      </c>
      <c r="B18" s="69">
        <v>0.15</v>
      </c>
      <c r="C18" s="84" t="s">
        <v>361</v>
      </c>
    </row>
    <row r="19" spans="1:3" ht="20.149999999999999" customHeight="1" x14ac:dyDescent="0.35">
      <c r="A19" s="64" t="s">
        <v>363</v>
      </c>
      <c r="B19" s="69">
        <v>0.4</v>
      </c>
      <c r="C19" s="205" t="s">
        <v>364</v>
      </c>
    </row>
    <row r="20" spans="1:3" ht="20.149999999999999" customHeight="1" x14ac:dyDescent="0.35">
      <c r="A20" s="65" t="s">
        <v>365</v>
      </c>
      <c r="B20" s="70">
        <v>0.6</v>
      </c>
      <c r="C20" s="206" t="s">
        <v>364</v>
      </c>
    </row>
    <row r="21" spans="1:3" x14ac:dyDescent="0.35">
      <c r="A21" s="7"/>
      <c r="B21" s="66"/>
      <c r="C21" s="63"/>
    </row>
    <row r="22" spans="1:3" ht="21.9" customHeight="1" x14ac:dyDescent="0.35">
      <c r="A22" s="288" t="s">
        <v>366</v>
      </c>
      <c r="B22" s="290"/>
      <c r="C22" s="289"/>
    </row>
    <row r="23" spans="1:3" ht="20.149999999999999" customHeight="1" x14ac:dyDescent="0.35">
      <c r="A23" s="56" t="s">
        <v>230</v>
      </c>
      <c r="B23" s="57" t="s">
        <v>367</v>
      </c>
      <c r="C23" s="58" t="s">
        <v>354</v>
      </c>
    </row>
    <row r="24" spans="1:3" ht="20.149999999999999" customHeight="1" x14ac:dyDescent="0.35">
      <c r="A24" s="64" t="s">
        <v>159</v>
      </c>
      <c r="B24" s="71">
        <v>0.73</v>
      </c>
      <c r="C24" s="205" t="s">
        <v>368</v>
      </c>
    </row>
    <row r="25" spans="1:3" ht="20.149999999999999" customHeight="1" x14ac:dyDescent="0.35">
      <c r="A25" s="64" t="s">
        <v>160</v>
      </c>
      <c r="B25" s="71">
        <v>0.35</v>
      </c>
      <c r="C25" s="205" t="s">
        <v>368</v>
      </c>
    </row>
    <row r="26" spans="1:3" ht="20.149999999999999" customHeight="1" x14ac:dyDescent="0.35">
      <c r="A26" s="64" t="s">
        <v>164</v>
      </c>
      <c r="B26" s="71">
        <v>0.66</v>
      </c>
      <c r="C26" s="205" t="s">
        <v>368</v>
      </c>
    </row>
    <row r="27" spans="1:3" ht="20.149999999999999" customHeight="1" x14ac:dyDescent="0.35">
      <c r="A27" s="64" t="s">
        <v>165</v>
      </c>
      <c r="B27" s="71">
        <v>0.15</v>
      </c>
      <c r="C27" s="205" t="s">
        <v>368</v>
      </c>
    </row>
    <row r="28" spans="1:3" ht="20.149999999999999" customHeight="1" x14ac:dyDescent="0.35">
      <c r="A28" s="64" t="s">
        <v>162</v>
      </c>
      <c r="B28" s="71">
        <v>0.01</v>
      </c>
      <c r="C28" s="205" t="s">
        <v>368</v>
      </c>
    </row>
    <row r="29" spans="1:3" x14ac:dyDescent="0.35">
      <c r="A29" s="7"/>
      <c r="B29" s="7"/>
      <c r="C29" s="63"/>
    </row>
    <row r="30" spans="1:3" ht="21.9" customHeight="1" x14ac:dyDescent="0.35">
      <c r="A30" s="288" t="s">
        <v>369</v>
      </c>
      <c r="B30" s="288"/>
      <c r="C30" s="289"/>
    </row>
    <row r="31" spans="1:3" ht="20.149999999999999" customHeight="1" x14ac:dyDescent="0.35">
      <c r="A31" s="83" t="s">
        <v>186</v>
      </c>
      <c r="B31" s="14" t="s">
        <v>370</v>
      </c>
      <c r="C31" s="82" t="s">
        <v>371</v>
      </c>
    </row>
    <row r="32" spans="1:3" ht="20.149999999999999" customHeight="1" x14ac:dyDescent="0.35">
      <c r="A32" s="83" t="s">
        <v>189</v>
      </c>
      <c r="B32" s="14" t="s">
        <v>372</v>
      </c>
      <c r="C32" s="82" t="s">
        <v>373</v>
      </c>
    </row>
    <row r="33" spans="1:3" ht="20.149999999999999" customHeight="1" x14ac:dyDescent="0.35">
      <c r="A33" s="83" t="s">
        <v>192</v>
      </c>
      <c r="B33" s="14" t="s">
        <v>374</v>
      </c>
      <c r="C33" s="82" t="s">
        <v>375</v>
      </c>
    </row>
    <row r="34" spans="1:3" ht="20.149999999999999" customHeight="1" x14ac:dyDescent="0.35">
      <c r="A34" s="83" t="s">
        <v>195</v>
      </c>
      <c r="B34" s="14" t="s">
        <v>376</v>
      </c>
      <c r="C34" s="82" t="s">
        <v>377</v>
      </c>
    </row>
    <row r="35" spans="1:3" x14ac:dyDescent="0.35">
      <c r="A35" s="7"/>
      <c r="B35" s="7"/>
      <c r="C35" s="7"/>
    </row>
    <row r="36" spans="1:3" x14ac:dyDescent="0.35">
      <c r="A36" s="7"/>
      <c r="B36" s="7"/>
      <c r="C36" s="7"/>
    </row>
    <row r="37" spans="1:3" x14ac:dyDescent="0.35">
      <c r="A37" s="7"/>
      <c r="B37" s="7"/>
      <c r="C37" s="7"/>
    </row>
    <row r="38" spans="1:3" x14ac:dyDescent="0.35">
      <c r="A38" s="7"/>
      <c r="B38" s="7"/>
      <c r="C38" s="7"/>
    </row>
  </sheetData>
  <sheetProtection sheet="1" objects="1" scenarios="1"/>
  <mergeCells count="11">
    <mergeCell ref="A1:C1"/>
    <mergeCell ref="A3:C3"/>
    <mergeCell ref="A9:C9"/>
    <mergeCell ref="A22:C22"/>
    <mergeCell ref="A30:C30"/>
    <mergeCell ref="A6:C6"/>
    <mergeCell ref="A4:C4"/>
    <mergeCell ref="A5:C5"/>
    <mergeCell ref="A7:C7"/>
    <mergeCell ref="A15:C15"/>
    <mergeCell ref="A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943bae-aa1f-4506-8ea8-50b34ee8c502" xsi:nil="true"/>
    <lcf76f155ced4ddcb4097134ff3c332f xmlns="b0384c83-b8ab-4310-b82e-d60c4a03c48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2DD11EEABEEF4FA26B5FB4A42BF351" ma:contentTypeVersion="13" ma:contentTypeDescription="Create a new document." ma:contentTypeScope="" ma:versionID="2555fadfecc69ec230a7d7de0b90bdaf">
  <xsd:schema xmlns:xsd="http://www.w3.org/2001/XMLSchema" xmlns:xs="http://www.w3.org/2001/XMLSchema" xmlns:p="http://schemas.microsoft.com/office/2006/metadata/properties" xmlns:ns1="http://schemas.microsoft.com/sharepoint/v3" xmlns:ns2="b0384c83-b8ab-4310-b82e-d60c4a03c48c" xmlns:ns3="e0943bae-aa1f-4506-8ea8-50b34ee8c502" targetNamespace="http://schemas.microsoft.com/office/2006/metadata/properties" ma:root="true" ma:fieldsID="fbeea8ae170cd5ababe17e9386cdad0c" ns1:_="" ns2:_="" ns3:_="">
    <xsd:import namespace="http://schemas.microsoft.com/sharepoint/v3"/>
    <xsd:import namespace="b0384c83-b8ab-4310-b82e-d60c4a03c48c"/>
    <xsd:import namespace="e0943bae-aa1f-4506-8ea8-50b34ee8c5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384c83-b8ab-4310-b82e-d60c4a03c4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88a5942-9b27-4a7b-8de0-795e82ee741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943bae-aa1f-4506-8ea8-50b34ee8c50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f22b11b-8ea6-4cc1-bb41-0b43472d0742}" ma:internalName="TaxCatchAll" ma:showField="CatchAllData" ma:web="e0943bae-aa1f-4506-8ea8-50b34ee8c5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87D8AF-6F7A-4764-8F79-60DF384E9E03}">
  <ds:schemaRefs>
    <ds:schemaRef ds:uri="http://schemas.microsoft.com/office/2006/metadata/properties"/>
    <ds:schemaRef ds:uri="http://schemas.microsoft.com/office/infopath/2007/PartnerControls"/>
    <ds:schemaRef ds:uri="e0943bae-aa1f-4506-8ea8-50b34ee8c502"/>
    <ds:schemaRef ds:uri="b0384c83-b8ab-4310-b82e-d60c4a03c48c"/>
    <ds:schemaRef ds:uri="http://schemas.microsoft.com/sharepoint/v3"/>
  </ds:schemaRefs>
</ds:datastoreItem>
</file>

<file path=customXml/itemProps2.xml><?xml version="1.0" encoding="utf-8"?>
<ds:datastoreItem xmlns:ds="http://schemas.openxmlformats.org/officeDocument/2006/customXml" ds:itemID="{4D454884-6632-49FF-B097-03FDB885FF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0384c83-b8ab-4310-b82e-d60c4a03c48c"/>
    <ds:schemaRef ds:uri="e0943bae-aa1f-4506-8ea8-50b34ee8c5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8B94D0-500B-4D34-BC24-F4B4595EF3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Units and Governance</vt:lpstr>
      <vt:lpstr>Residential</vt:lpstr>
      <vt:lpstr>Commercial</vt:lpstr>
      <vt:lpstr>Wastewater</vt:lpstr>
      <vt:lpstr>Summary</vt:lpstr>
      <vt:lpstr>SUPPLEMENTARY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Kroft</dc:creator>
  <cp:keywords/>
  <dc:description/>
  <cp:lastModifiedBy>Marina Puzyreva</cp:lastModifiedBy>
  <cp:revision/>
  <dcterms:created xsi:type="dcterms:W3CDTF">2025-10-15T13:30:27Z</dcterms:created>
  <dcterms:modified xsi:type="dcterms:W3CDTF">2026-04-30T21:24:27Z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0x010100022DD11EEABEEF4FA26B5FB4A42BF351</vt:lpwstr>
  </property>
  <property fmtid="{D5CDD505-2E9C-101B-9397-08002B2CF9AE}" pid="3" name="MediaServiceImageTags">
    <vt:lpwstr/>
  </property>
</Properties>
</file>