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131" documentId="8_{FA799DF0-8BAB-45F1-A0B4-18B04D4A7210}" xr6:coauthVersionLast="47" xr6:coauthVersionMax="47" xr10:uidLastSave="{21A76BBE-CB59-451C-916C-75E22317A39F}"/>
  <bookViews>
    <workbookView xWindow="-108" yWindow="-108" windowWidth="23256" windowHeight="13896" xr2:uid="{87B7794A-41E9-47AA-B9C6-4E42AEEC0045}"/>
  </bookViews>
  <sheets>
    <sheet name="Guide" sheetId="38" r:id="rId1"/>
    <sheet name="Key inputs &amp; outputs" sheetId="41" r:id="rId2"/>
    <sheet name="WestKalimant Data (IDR)" sheetId="44" r:id="rId3"/>
    <sheet name="Other inputs (IDR)" sheetId="8" r:id="rId4"/>
    <sheet name="Other Inputs (AUD)" sheetId="43" r:id="rId5"/>
    <sheet name="Non-road benefits calcs" sheetId="23" r:id="rId6"/>
    <sheet name="Climate Impacts" sheetId="45" r:id="rId7"/>
    <sheet name="Analysis" sheetId="35" r:id="rId8"/>
    <sheet name="References &amp; Notes" sheetId="42" r:id="rId9"/>
  </sheets>
  <definedNames>
    <definedName name="_gjdgxs" localSheetId="0">Guide!$D$1</definedName>
    <definedName name="Case_list">'Key inputs &amp; outputs'!$H$2:$O$2</definedName>
    <definedName name="Crop_and_fruit_list" localSheetId="8">'References &amp; Notes'!#REF!</definedName>
    <definedName name="Crop_and_fruit_list">'Other inputs (IDR)'!$D$127:$D$156</definedName>
    <definedName name="Livestock_list" localSheetId="8">'References &amp; Notes'!#REF!</definedName>
    <definedName name="Livestock_list">'Other inputs (IDR)'!$D$174:$D$177</definedName>
    <definedName name="_xlnm.Print_Titles" localSheetId="7">Analysis!$A:$I,Analysis!$1:$3</definedName>
    <definedName name="_xlnm.Print_Titles" localSheetId="5">'Non-road benefits calcs'!$1:$2</definedName>
    <definedName name="_xlnm.Print_Titles" localSheetId="3">'Other inputs (IDR)'!$1:$2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 i="38" l="1"/>
  <c r="D62" i="41"/>
  <c r="D60" i="41"/>
  <c r="H140" i="8"/>
  <c r="H176" i="8" l="1"/>
  <c r="F176" i="8"/>
  <c r="G200" i="23"/>
  <c r="D200" i="23"/>
  <c r="G199" i="23"/>
  <c r="D199" i="23"/>
  <c r="C25" i="44"/>
  <c r="C24" i="44" s="1"/>
  <c r="D184" i="23"/>
  <c r="C21" i="44" l="1"/>
  <c r="F158" i="8"/>
  <c r="F175" i="8"/>
  <c r="C22" i="44"/>
  <c r="F200" i="23" s="1"/>
  <c r="H30" i="35" l="1"/>
  <c r="K39" i="35" l="1"/>
  <c r="L39" i="35"/>
  <c r="M39" i="35"/>
  <c r="N39" i="35"/>
  <c r="O39" i="35"/>
  <c r="P39" i="35"/>
  <c r="Q39" i="35"/>
  <c r="R39" i="35"/>
  <c r="S39" i="35"/>
  <c r="J39" i="35"/>
  <c r="C19" i="44"/>
  <c r="F194" i="8" s="1"/>
  <c r="F54" i="41"/>
  <c r="F55" i="41" s="1"/>
  <c r="F44" i="35"/>
  <c r="F191" i="23" l="1"/>
  <c r="F59" i="41"/>
  <c r="J79" i="35"/>
  <c r="AM24" i="45"/>
  <c r="AL24" i="45"/>
  <c r="AK24" i="45"/>
  <c r="AJ24" i="45"/>
  <c r="AI24" i="45"/>
  <c r="AH24" i="45"/>
  <c r="AG24" i="45"/>
  <c r="AF24" i="45"/>
  <c r="AE24" i="45"/>
  <c r="AD24" i="45"/>
  <c r="AC24" i="45"/>
  <c r="AB24" i="45"/>
  <c r="AA24" i="45"/>
  <c r="Z24" i="45"/>
  <c r="Y24" i="45"/>
  <c r="X24" i="45"/>
  <c r="W24" i="45"/>
  <c r="V24" i="45"/>
  <c r="U24" i="45"/>
  <c r="T24" i="45"/>
  <c r="S24" i="45"/>
  <c r="R24" i="45"/>
  <c r="Q24" i="45"/>
  <c r="P24" i="45"/>
  <c r="O24" i="45"/>
  <c r="N24" i="45"/>
  <c r="M24" i="45"/>
  <c r="L24" i="45"/>
  <c r="K24" i="45"/>
  <c r="J24" i="45"/>
  <c r="I24" i="45"/>
  <c r="H24" i="45"/>
  <c r="G24" i="45"/>
  <c r="F24" i="45"/>
  <c r="E24" i="45"/>
  <c r="D24" i="45"/>
  <c r="AM21" i="45"/>
  <c r="AL21" i="45"/>
  <c r="AK21" i="45"/>
  <c r="AJ21" i="45"/>
  <c r="AI21" i="45"/>
  <c r="AH21" i="45"/>
  <c r="AG21" i="45"/>
  <c r="AF21" i="45"/>
  <c r="AE21" i="45"/>
  <c r="AD21" i="45"/>
  <c r="AC21" i="45"/>
  <c r="AB21" i="45"/>
  <c r="AA21" i="45"/>
  <c r="Z21" i="45"/>
  <c r="Y21" i="45"/>
  <c r="X21" i="45"/>
  <c r="W21" i="45"/>
  <c r="V21" i="45"/>
  <c r="U21" i="45"/>
  <c r="T21" i="45"/>
  <c r="S21" i="45"/>
  <c r="R21" i="45"/>
  <c r="Q21" i="45"/>
  <c r="P21" i="45"/>
  <c r="O21" i="45"/>
  <c r="N21" i="45"/>
  <c r="M21" i="45"/>
  <c r="L21" i="45"/>
  <c r="K21" i="45"/>
  <c r="J21" i="45"/>
  <c r="I21" i="45"/>
  <c r="H21" i="45"/>
  <c r="G21" i="45"/>
  <c r="F21" i="45"/>
  <c r="E21" i="45"/>
  <c r="D21" i="45"/>
  <c r="AM18" i="45"/>
  <c r="AL18" i="45"/>
  <c r="AL27" i="45" s="1"/>
  <c r="AS45" i="35" s="1"/>
  <c r="AS39" i="35" s="1"/>
  <c r="AK18" i="45"/>
  <c r="AJ18" i="45"/>
  <c r="AJ27" i="45" s="1"/>
  <c r="AQ45" i="35" s="1"/>
  <c r="AQ39" i="35" s="1"/>
  <c r="AI18" i="45"/>
  <c r="AI27" i="45" s="1"/>
  <c r="AP45" i="35" s="1"/>
  <c r="AP39" i="35" s="1"/>
  <c r="AH18" i="45"/>
  <c r="AH27" i="45" s="1"/>
  <c r="AO45" i="35" s="1"/>
  <c r="AO39" i="35" s="1"/>
  <c r="AG18" i="45"/>
  <c r="AG27" i="45" s="1"/>
  <c r="AN45" i="35" s="1"/>
  <c r="AN39" i="35" s="1"/>
  <c r="AF18" i="45"/>
  <c r="AF27" i="45" s="1"/>
  <c r="AM45" i="35" s="1"/>
  <c r="AM39" i="35" s="1"/>
  <c r="AE18" i="45"/>
  <c r="AD18" i="45"/>
  <c r="AD27" i="45" s="1"/>
  <c r="AK45" i="35" s="1"/>
  <c r="AK39" i="35" s="1"/>
  <c r="AC18" i="45"/>
  <c r="AB18" i="45"/>
  <c r="AB27" i="45" s="1"/>
  <c r="AI45" i="35" s="1"/>
  <c r="AI39" i="35" s="1"/>
  <c r="AA18" i="45"/>
  <c r="AA27" i="45" s="1"/>
  <c r="AH45" i="35" s="1"/>
  <c r="AH39" i="35" s="1"/>
  <c r="Z18" i="45"/>
  <c r="Z27" i="45" s="1"/>
  <c r="AG45" i="35" s="1"/>
  <c r="AG39" i="35" s="1"/>
  <c r="Y18" i="45"/>
  <c r="Y27" i="45" s="1"/>
  <c r="AF45" i="35" s="1"/>
  <c r="AF39" i="35" s="1"/>
  <c r="X18" i="45"/>
  <c r="X27" i="45" s="1"/>
  <c r="AE45" i="35" s="1"/>
  <c r="AE39" i="35" s="1"/>
  <c r="W18" i="45"/>
  <c r="V18" i="45"/>
  <c r="V27" i="45" s="1"/>
  <c r="AC45" i="35" s="1"/>
  <c r="AC39" i="35" s="1"/>
  <c r="U18" i="45"/>
  <c r="T18" i="45"/>
  <c r="T27" i="45" s="1"/>
  <c r="AA45" i="35" s="1"/>
  <c r="AA39" i="35" s="1"/>
  <c r="S18" i="45"/>
  <c r="S27" i="45" s="1"/>
  <c r="Z45" i="35" s="1"/>
  <c r="Z39" i="35" s="1"/>
  <c r="R18" i="45"/>
  <c r="R27" i="45" s="1"/>
  <c r="Y45" i="35" s="1"/>
  <c r="Y39" i="35" s="1"/>
  <c r="Q18" i="45"/>
  <c r="Q27" i="45" s="1"/>
  <c r="X45" i="35" s="1"/>
  <c r="X39" i="35" s="1"/>
  <c r="P18" i="45"/>
  <c r="P27" i="45" s="1"/>
  <c r="W45" i="35" s="1"/>
  <c r="W39" i="35" s="1"/>
  <c r="O18" i="45"/>
  <c r="N18" i="45"/>
  <c r="N27" i="45" s="1"/>
  <c r="U45" i="35" s="1"/>
  <c r="U39" i="35" s="1"/>
  <c r="M18" i="45"/>
  <c r="L18" i="45"/>
  <c r="K18" i="45"/>
  <c r="K27" i="45" s="1"/>
  <c r="J18" i="45"/>
  <c r="J27" i="45" s="1"/>
  <c r="I18" i="45"/>
  <c r="I27" i="45" s="1"/>
  <c r="H18" i="45"/>
  <c r="H27" i="45" s="1"/>
  <c r="G18" i="45"/>
  <c r="F18" i="45"/>
  <c r="F27" i="45" s="1"/>
  <c r="E18" i="45"/>
  <c r="D18" i="45"/>
  <c r="D27" i="45" l="1"/>
  <c r="L27" i="45"/>
  <c r="E27" i="45"/>
  <c r="M27" i="45"/>
  <c r="T45" i="35" s="1"/>
  <c r="U27" i="45"/>
  <c r="AB45" i="35" s="1"/>
  <c r="AB39" i="35" s="1"/>
  <c r="AC27" i="45"/>
  <c r="AJ45" i="35" s="1"/>
  <c r="AJ39" i="35" s="1"/>
  <c r="AK27" i="45"/>
  <c r="AR45" i="35" s="1"/>
  <c r="AR39" i="35" s="1"/>
  <c r="G27" i="45"/>
  <c r="O27" i="45"/>
  <c r="V45" i="35" s="1"/>
  <c r="V39" i="35" s="1"/>
  <c r="W27" i="45"/>
  <c r="AD45" i="35" s="1"/>
  <c r="AD39" i="35" s="1"/>
  <c r="AE27" i="45"/>
  <c r="AL45" i="35" s="1"/>
  <c r="AL39" i="35" s="1"/>
  <c r="AM27" i="45"/>
  <c r="AT45" i="35" s="1"/>
  <c r="AT39" i="35" s="1"/>
  <c r="T39" i="35" l="1"/>
  <c r="H39" i="35" s="1"/>
  <c r="F36" i="35" s="1"/>
  <c r="F34" i="35" s="1"/>
  <c r="H45" i="35"/>
  <c r="M16" i="41"/>
  <c r="F37" i="35" l="1"/>
  <c r="U40" i="35" s="1"/>
  <c r="F58" i="41"/>
  <c r="F205" i="8"/>
  <c r="G182" i="8"/>
  <c r="H182" i="8"/>
  <c r="G183" i="8"/>
  <c r="H183" i="8"/>
  <c r="G184" i="8"/>
  <c r="H184" i="8"/>
  <c r="G185" i="8"/>
  <c r="H185" i="8"/>
  <c r="F183" i="8"/>
  <c r="F184" i="8"/>
  <c r="F185" i="8"/>
  <c r="F182" i="8"/>
  <c r="E14" i="8"/>
  <c r="F49" i="35" l="1"/>
  <c r="F151" i="8" l="1"/>
  <c r="F140" i="8"/>
  <c r="K30" i="41"/>
  <c r="K29" i="41"/>
  <c r="J30" i="41"/>
  <c r="J29" i="41"/>
  <c r="K25" i="41"/>
  <c r="J25" i="41"/>
  <c r="K23" i="41"/>
  <c r="J23" i="41"/>
  <c r="K17" i="41"/>
  <c r="J17" i="41"/>
  <c r="L16" i="41"/>
  <c r="F13" i="8"/>
  <c r="C9" i="44"/>
  <c r="D162" i="8"/>
  <c r="D169" i="8"/>
  <c r="D170" i="8"/>
  <c r="F208" i="8"/>
  <c r="F231" i="23" s="1"/>
  <c r="F198" i="8"/>
  <c r="I127" i="43"/>
  <c r="G100" i="8"/>
  <c r="H100" i="8"/>
  <c r="I100" i="8"/>
  <c r="G101" i="8"/>
  <c r="H101" i="8"/>
  <c r="I101" i="8"/>
  <c r="G102" i="8"/>
  <c r="H102" i="8"/>
  <c r="I102" i="8"/>
  <c r="G103" i="8"/>
  <c r="H103" i="8"/>
  <c r="I103" i="8"/>
  <c r="G104" i="8"/>
  <c r="H104" i="8"/>
  <c r="I104" i="8"/>
  <c r="F101" i="8"/>
  <c r="F102" i="8"/>
  <c r="F103" i="8"/>
  <c r="F104" i="8"/>
  <c r="F100" i="8"/>
  <c r="G82" i="8"/>
  <c r="H82" i="8"/>
  <c r="I82" i="8"/>
  <c r="G83" i="8"/>
  <c r="H83" i="8"/>
  <c r="I83" i="8"/>
  <c r="G84" i="8"/>
  <c r="H84" i="8"/>
  <c r="I84" i="8"/>
  <c r="G85" i="8"/>
  <c r="H85" i="8"/>
  <c r="I85" i="8"/>
  <c r="G86" i="8"/>
  <c r="H86" i="8"/>
  <c r="I86" i="8"/>
  <c r="F83" i="8"/>
  <c r="F84" i="8"/>
  <c r="F85" i="8"/>
  <c r="F86" i="8"/>
  <c r="F82" i="8"/>
  <c r="F55" i="8"/>
  <c r="F56" i="8"/>
  <c r="F57" i="8"/>
  <c r="F58" i="8"/>
  <c r="F59" i="8"/>
  <c r="F60" i="8"/>
  <c r="F61" i="8"/>
  <c r="F62" i="8"/>
  <c r="F63" i="8"/>
  <c r="F64" i="8"/>
  <c r="F65" i="8"/>
  <c r="F66" i="8"/>
  <c r="F67" i="8"/>
  <c r="F68" i="8"/>
  <c r="F69" i="8"/>
  <c r="F54" i="8"/>
  <c r="F23" i="8"/>
  <c r="F24" i="8"/>
  <c r="F25" i="8"/>
  <c r="F26" i="8"/>
  <c r="F27" i="8"/>
  <c r="F28" i="8"/>
  <c r="F29" i="8"/>
  <c r="F22" i="8"/>
  <c r="H197" i="43"/>
  <c r="G197" i="43"/>
  <c r="G196" i="43"/>
  <c r="F196" i="43"/>
  <c r="H195" i="43"/>
  <c r="G195" i="43"/>
  <c r="F195" i="43"/>
  <c r="G193" i="43"/>
  <c r="F193" i="43"/>
  <c r="H198" i="43" s="1"/>
  <c r="D193" i="43"/>
  <c r="H182" i="43"/>
  <c r="H181" i="43"/>
  <c r="I181" i="43" s="1"/>
  <c r="H180" i="43"/>
  <c r="H178" i="43"/>
  <c r="G173" i="43"/>
  <c r="F173" i="43"/>
  <c r="I178" i="43" s="1"/>
  <c r="D173" i="43"/>
  <c r="G172" i="43"/>
  <c r="F172" i="43"/>
  <c r="H179" i="43" s="1"/>
  <c r="I179" i="43" s="1"/>
  <c r="D172" i="43"/>
  <c r="G166" i="43"/>
  <c r="F166" i="43"/>
  <c r="F167" i="43" s="1"/>
  <c r="D166" i="43"/>
  <c r="G122" i="43"/>
  <c r="F122" i="43"/>
  <c r="D122" i="43"/>
  <c r="G121" i="43"/>
  <c r="F121" i="43"/>
  <c r="H157" i="43" s="1"/>
  <c r="I157" i="43" s="1"/>
  <c r="D121" i="43"/>
  <c r="I111" i="43"/>
  <c r="H111" i="43"/>
  <c r="I109" i="43"/>
  <c r="H109" i="43"/>
  <c r="I107" i="43"/>
  <c r="H107" i="43"/>
  <c r="G105" i="43"/>
  <c r="F105" i="43"/>
  <c r="G110" i="43" s="1"/>
  <c r="D105" i="43"/>
  <c r="I93" i="43"/>
  <c r="H93" i="43"/>
  <c r="I91" i="43"/>
  <c r="H91" i="43"/>
  <c r="I89" i="43"/>
  <c r="H89" i="43"/>
  <c r="G87" i="43"/>
  <c r="F87" i="43"/>
  <c r="G92" i="43" s="1"/>
  <c r="D87" i="43"/>
  <c r="G68" i="43"/>
  <c r="G67" i="43"/>
  <c r="G63" i="43"/>
  <c r="G60" i="43"/>
  <c r="G59" i="43"/>
  <c r="G55" i="43"/>
  <c r="G50" i="43"/>
  <c r="F50" i="43"/>
  <c r="G62" i="43" s="1"/>
  <c r="D50" i="43"/>
  <c r="D40" i="43"/>
  <c r="D39" i="43"/>
  <c r="G37" i="43"/>
  <c r="F37" i="43"/>
  <c r="D37" i="43"/>
  <c r="F35" i="43"/>
  <c r="F40" i="43" s="1"/>
  <c r="F34" i="43"/>
  <c r="F39" i="43" s="1"/>
  <c r="G26" i="43"/>
  <c r="G25" i="43"/>
  <c r="G18" i="43"/>
  <c r="F18" i="43"/>
  <c r="G28" i="43" s="1"/>
  <c r="D18" i="43"/>
  <c r="F12" i="43"/>
  <c r="A1" i="43"/>
  <c r="D38" i="8"/>
  <c r="F38" i="8"/>
  <c r="F123" i="8"/>
  <c r="G100" i="41"/>
  <c r="E100" i="41"/>
  <c r="D100" i="41"/>
  <c r="G36" i="35"/>
  <c r="E36" i="35"/>
  <c r="D36" i="35"/>
  <c r="G170" i="8"/>
  <c r="F170" i="8"/>
  <c r="I176" i="8" s="1"/>
  <c r="F195" i="23" s="1"/>
  <c r="F197" i="23" s="1"/>
  <c r="G177" i="23"/>
  <c r="D177" i="23"/>
  <c r="G162" i="8"/>
  <c r="F162" i="8"/>
  <c r="F163" i="8" s="1"/>
  <c r="G123" i="8"/>
  <c r="D123" i="8"/>
  <c r="G38" i="23"/>
  <c r="G37" i="23"/>
  <c r="D40" i="8"/>
  <c r="D37" i="23" s="1"/>
  <c r="G38" i="8"/>
  <c r="D41" i="8"/>
  <c r="D38" i="23" s="1"/>
  <c r="D50" i="41"/>
  <c r="G82" i="35"/>
  <c r="F82" i="35"/>
  <c r="E82" i="35"/>
  <c r="D82" i="35"/>
  <c r="G78" i="35"/>
  <c r="F78" i="35"/>
  <c r="E78" i="35"/>
  <c r="D78" i="35"/>
  <c r="G77" i="35"/>
  <c r="F77" i="35"/>
  <c r="J80" i="35" s="1"/>
  <c r="E77" i="35"/>
  <c r="D77" i="35"/>
  <c r="G6" i="35"/>
  <c r="F6" i="35"/>
  <c r="E6" i="35"/>
  <c r="D6" i="35"/>
  <c r="G34" i="35"/>
  <c r="E34" i="35"/>
  <c r="D34" i="35"/>
  <c r="D56" i="41"/>
  <c r="G29" i="35"/>
  <c r="E29" i="35"/>
  <c r="D29" i="35"/>
  <c r="G232" i="23"/>
  <c r="F232" i="23"/>
  <c r="D232" i="23"/>
  <c r="B7" i="42"/>
  <c r="E115" i="8" s="1"/>
  <c r="B19" i="42"/>
  <c r="B18" i="42"/>
  <c r="B17" i="42"/>
  <c r="B16" i="42"/>
  <c r="B15" i="42"/>
  <c r="E35" i="43" s="1"/>
  <c r="B14" i="42"/>
  <c r="E33" i="23" s="1"/>
  <c r="B13" i="42"/>
  <c r="E208" i="8" s="1"/>
  <c r="B12" i="42"/>
  <c r="E171" i="8" s="1"/>
  <c r="B11" i="42"/>
  <c r="E119" i="8" s="1"/>
  <c r="B10" i="42"/>
  <c r="E118" i="8" s="1"/>
  <c r="B9" i="42"/>
  <c r="E117" i="8" s="1"/>
  <c r="B8" i="42"/>
  <c r="E116" i="8" s="1"/>
  <c r="B6" i="42"/>
  <c r="B4" i="42"/>
  <c r="E8" i="8" s="1"/>
  <c r="A1" i="42"/>
  <c r="G231" i="23"/>
  <c r="D231" i="23"/>
  <c r="J83" i="35" l="1"/>
  <c r="E20" i="8"/>
  <c r="E19" i="43"/>
  <c r="E115" i="43"/>
  <c r="I16" i="41"/>
  <c r="F177" i="23"/>
  <c r="E36" i="8"/>
  <c r="E114" i="43"/>
  <c r="E116" i="43"/>
  <c r="E117" i="43"/>
  <c r="E123" i="43"/>
  <c r="E79" i="8"/>
  <c r="E78" i="43"/>
  <c r="E118" i="43"/>
  <c r="E214" i="43"/>
  <c r="E51" i="43"/>
  <c r="E174" i="43"/>
  <c r="E96" i="43"/>
  <c r="H132" i="43"/>
  <c r="I132" i="43" s="1"/>
  <c r="H140" i="43"/>
  <c r="I140" i="43" s="1"/>
  <c r="H148" i="43"/>
  <c r="I148" i="43" s="1"/>
  <c r="G21" i="43"/>
  <c r="H90" i="43"/>
  <c r="H92" i="43"/>
  <c r="H108" i="43"/>
  <c r="H110" i="43"/>
  <c r="H130" i="43"/>
  <c r="I130" i="43" s="1"/>
  <c r="H138" i="43"/>
  <c r="I138" i="43" s="1"/>
  <c r="H150" i="43"/>
  <c r="I150" i="43" s="1"/>
  <c r="I182" i="43"/>
  <c r="G22" i="43"/>
  <c r="G56" i="43"/>
  <c r="G64" i="43"/>
  <c r="I90" i="43"/>
  <c r="I92" i="43"/>
  <c r="I108" i="43"/>
  <c r="I110" i="43"/>
  <c r="H196" i="43"/>
  <c r="H128" i="43"/>
  <c r="I128" i="43" s="1"/>
  <c r="H136" i="43"/>
  <c r="I136" i="43" s="1"/>
  <c r="H144" i="43"/>
  <c r="I144" i="43" s="1"/>
  <c r="H152" i="43"/>
  <c r="I152" i="43" s="1"/>
  <c r="H156" i="43"/>
  <c r="I156" i="43" s="1"/>
  <c r="I180" i="43"/>
  <c r="H134" i="43"/>
  <c r="I134" i="43" s="1"/>
  <c r="H142" i="43"/>
  <c r="I142" i="43" s="1"/>
  <c r="H146" i="43"/>
  <c r="I146" i="43" s="1"/>
  <c r="H154" i="43"/>
  <c r="I154" i="43" s="1"/>
  <c r="H158" i="43"/>
  <c r="I158" i="43" s="1"/>
  <c r="G23" i="43"/>
  <c r="G57" i="43"/>
  <c r="G65" i="43"/>
  <c r="F89" i="43"/>
  <c r="F91" i="43"/>
  <c r="F93" i="43"/>
  <c r="F107" i="43"/>
  <c r="F109" i="43"/>
  <c r="F111" i="43"/>
  <c r="H127" i="43"/>
  <c r="H131" i="43"/>
  <c r="I131" i="43" s="1"/>
  <c r="H135" i="43"/>
  <c r="I135" i="43" s="1"/>
  <c r="H139" i="43"/>
  <c r="I139" i="43" s="1"/>
  <c r="H143" i="43"/>
  <c r="I143" i="43" s="1"/>
  <c r="H147" i="43"/>
  <c r="I147" i="43" s="1"/>
  <c r="H151" i="43"/>
  <c r="I151" i="43" s="1"/>
  <c r="H155" i="43"/>
  <c r="I155" i="43" s="1"/>
  <c r="H159" i="43"/>
  <c r="I159" i="43" s="1"/>
  <c r="F197" i="43"/>
  <c r="G24" i="43"/>
  <c r="G58" i="43"/>
  <c r="G66" i="43"/>
  <c r="G89" i="43"/>
  <c r="G91" i="43"/>
  <c r="G93" i="43"/>
  <c r="G107" i="43"/>
  <c r="G109" i="43"/>
  <c r="G111" i="43"/>
  <c r="F198" i="43"/>
  <c r="G27" i="43"/>
  <c r="G53" i="43"/>
  <c r="G61" i="43"/>
  <c r="F90" i="43"/>
  <c r="F92" i="43"/>
  <c r="F108" i="43"/>
  <c r="F110" i="43"/>
  <c r="H129" i="43"/>
  <c r="I129" i="43" s="1"/>
  <c r="H133" i="43"/>
  <c r="I133" i="43" s="1"/>
  <c r="H137" i="43"/>
  <c r="I137" i="43" s="1"/>
  <c r="H141" i="43"/>
  <c r="I141" i="43" s="1"/>
  <c r="H145" i="43"/>
  <c r="I145" i="43" s="1"/>
  <c r="H149" i="43"/>
  <c r="I149" i="43" s="1"/>
  <c r="H153" i="43"/>
  <c r="I153" i="43" s="1"/>
  <c r="G198" i="43"/>
  <c r="G54" i="43"/>
  <c r="G90" i="43"/>
  <c r="G108" i="43"/>
  <c r="F233" i="23"/>
  <c r="E124" i="8"/>
  <c r="E52" i="8"/>
  <c r="E97" i="8"/>
  <c r="E7" i="8"/>
  <c r="G235" i="23"/>
  <c r="D235" i="23"/>
  <c r="G221" i="23"/>
  <c r="D221" i="23"/>
  <c r="G215" i="23"/>
  <c r="D215" i="23"/>
  <c r="G14" i="23"/>
  <c r="D14" i="23"/>
  <c r="G13" i="23"/>
  <c r="D13" i="23"/>
  <c r="G226" i="23"/>
  <c r="F226" i="23"/>
  <c r="D226" i="23"/>
  <c r="G223" i="23"/>
  <c r="F223" i="23"/>
  <c r="D223" i="23"/>
  <c r="G222" i="23"/>
  <c r="F222" i="23"/>
  <c r="D222" i="23"/>
  <c r="G216" i="23"/>
  <c r="F216" i="23"/>
  <c r="D216" i="23"/>
  <c r="G191" i="23"/>
  <c r="D191" i="23"/>
  <c r="G184" i="23"/>
  <c r="G178" i="23"/>
  <c r="F178" i="23"/>
  <c r="D178" i="23"/>
  <c r="G171" i="23"/>
  <c r="F171" i="23"/>
  <c r="D171" i="23"/>
  <c r="G164" i="23"/>
  <c r="D164" i="23"/>
  <c r="G49" i="23"/>
  <c r="F49" i="23"/>
  <c r="D49" i="23"/>
  <c r="G47" i="23"/>
  <c r="F47" i="23"/>
  <c r="D47" i="23"/>
  <c r="G44" i="23"/>
  <c r="F44" i="23"/>
  <c r="D44" i="23"/>
  <c r="G42" i="23"/>
  <c r="F42" i="23"/>
  <c r="D42" i="23"/>
  <c r="F36" i="8"/>
  <c r="F41" i="8" s="1"/>
  <c r="F38" i="23" s="1"/>
  <c r="F35" i="8"/>
  <c r="F40" i="8" s="1"/>
  <c r="F37" i="23" s="1"/>
  <c r="G34" i="23"/>
  <c r="F34" i="23"/>
  <c r="D34" i="23"/>
  <c r="G33" i="23"/>
  <c r="F33" i="23"/>
  <c r="D33" i="23"/>
  <c r="G21" i="23"/>
  <c r="F21" i="23"/>
  <c r="D21" i="23"/>
  <c r="G18" i="23"/>
  <c r="D18" i="23"/>
  <c r="F18" i="23"/>
  <c r="G15" i="23"/>
  <c r="F15" i="23"/>
  <c r="D15" i="23"/>
  <c r="J87" i="35" l="1"/>
  <c r="J91" i="35"/>
  <c r="J16" i="41"/>
  <c r="K16" i="41"/>
  <c r="F6" i="41"/>
  <c r="D172" i="23"/>
  <c r="D140" i="23"/>
  <c r="D29" i="23"/>
  <c r="G236" i="23"/>
  <c r="D236" i="23"/>
  <c r="G227" i="23"/>
  <c r="D227" i="23"/>
  <c r="G217" i="23"/>
  <c r="D217" i="23"/>
  <c r="G211" i="23"/>
  <c r="D211" i="23"/>
  <c r="G179" i="23"/>
  <c r="D179" i="23"/>
  <c r="G172" i="23"/>
  <c r="G160" i="23"/>
  <c r="D160" i="23"/>
  <c r="G140" i="23"/>
  <c r="G120" i="23"/>
  <c r="D120" i="23"/>
  <c r="G100" i="23"/>
  <c r="D100" i="23"/>
  <c r="G80" i="23"/>
  <c r="D80" i="23"/>
  <c r="G60" i="23"/>
  <c r="D60" i="23"/>
  <c r="G50" i="23"/>
  <c r="D50" i="23"/>
  <c r="G29" i="23"/>
  <c r="G22" i="23"/>
  <c r="D22" i="23"/>
  <c r="G88" i="41"/>
  <c r="G87" i="41"/>
  <c r="G86" i="41"/>
  <c r="G85" i="41"/>
  <c r="G84" i="41"/>
  <c r="G83" i="41"/>
  <c r="G82" i="41"/>
  <c r="G81" i="41"/>
  <c r="G80" i="41"/>
  <c r="G79" i="41"/>
  <c r="G78" i="41"/>
  <c r="G77" i="41"/>
  <c r="G76" i="41"/>
  <c r="G75" i="41"/>
  <c r="G74" i="41"/>
  <c r="G205" i="23"/>
  <c r="D205" i="23"/>
  <c r="G190" i="23"/>
  <c r="D190" i="23"/>
  <c r="G176" i="23"/>
  <c r="D176" i="23"/>
  <c r="G166" i="23"/>
  <c r="D166" i="23"/>
  <c r="G55" i="23"/>
  <c r="D55" i="23"/>
  <c r="G97" i="41"/>
  <c r="D97" i="41"/>
  <c r="G94" i="41"/>
  <c r="D94" i="41"/>
  <c r="G102" i="41"/>
  <c r="D102" i="41"/>
  <c r="G101" i="41"/>
  <c r="D101" i="41"/>
  <c r="G89" i="41"/>
  <c r="G112" i="41"/>
  <c r="D112" i="41"/>
  <c r="G111" i="41"/>
  <c r="D111" i="41"/>
  <c r="G115" i="41"/>
  <c r="F115" i="41"/>
  <c r="D115" i="41"/>
  <c r="G114" i="41"/>
  <c r="F114" i="41"/>
  <c r="D114" i="41"/>
  <c r="G109" i="41"/>
  <c r="D109" i="41"/>
  <c r="G108" i="41"/>
  <c r="D108" i="41"/>
  <c r="G106" i="41"/>
  <c r="D106" i="41"/>
  <c r="G105" i="41"/>
  <c r="D105" i="41"/>
  <c r="A1" i="41"/>
  <c r="G169" i="8"/>
  <c r="F169" i="8"/>
  <c r="H175" i="8" s="1"/>
  <c r="D122" i="8"/>
  <c r="F122" i="8"/>
  <c r="G122" i="8"/>
  <c r="F7" i="35"/>
  <c r="B48" i="35" s="1"/>
  <c r="D72" i="35"/>
  <c r="F72" i="35"/>
  <c r="G72" i="35"/>
  <c r="I72" i="35"/>
  <c r="G61" i="35"/>
  <c r="F61" i="35"/>
  <c r="D61" i="35"/>
  <c r="G57" i="35"/>
  <c r="F57" i="35"/>
  <c r="D57" i="35"/>
  <c r="D50" i="35"/>
  <c r="F50" i="35"/>
  <c r="G50" i="35"/>
  <c r="I50" i="35"/>
  <c r="F101" i="41"/>
  <c r="F27" i="41" l="1" a="1"/>
  <c r="F27" i="41" s="1"/>
  <c r="F28" i="41" s="1"/>
  <c r="F184" i="23" s="1"/>
  <c r="F11" i="41" a="1"/>
  <c r="F11" i="41" s="1"/>
  <c r="F100" i="41"/>
  <c r="F21" i="41" a="1"/>
  <c r="F21" i="41" s="1"/>
  <c r="F22" i="41" s="1"/>
  <c r="H130" i="8"/>
  <c r="H138" i="8"/>
  <c r="I138" i="8" s="1"/>
  <c r="H146" i="8"/>
  <c r="I146" i="8" s="1"/>
  <c r="H154" i="8"/>
  <c r="I154" i="8" s="1"/>
  <c r="H131" i="8"/>
  <c r="I131" i="8" s="1"/>
  <c r="H139" i="8"/>
  <c r="I139" i="8" s="1"/>
  <c r="H147" i="8"/>
  <c r="I147" i="8" s="1"/>
  <c r="H155" i="8"/>
  <c r="I155" i="8" s="1"/>
  <c r="H132" i="8"/>
  <c r="I132" i="8" s="1"/>
  <c r="I140" i="8"/>
  <c r="H148" i="8"/>
  <c r="I148" i="8" s="1"/>
  <c r="H133" i="8"/>
  <c r="I133" i="8" s="1"/>
  <c r="H141" i="8"/>
  <c r="I141" i="8" s="1"/>
  <c r="H149" i="8"/>
  <c r="I149" i="8" s="1"/>
  <c r="H134" i="8"/>
  <c r="I134" i="8" s="1"/>
  <c r="H135" i="8"/>
  <c r="I135" i="8" s="1"/>
  <c r="H151" i="8"/>
  <c r="I151" i="8" s="1"/>
  <c r="H142" i="8"/>
  <c r="I142" i="8" s="1"/>
  <c r="H150" i="8"/>
  <c r="I150" i="8" s="1"/>
  <c r="H143" i="8"/>
  <c r="I143" i="8" s="1"/>
  <c r="H136" i="8"/>
  <c r="I136" i="8" s="1"/>
  <c r="H144" i="8"/>
  <c r="I144" i="8" s="1"/>
  <c r="H152" i="8"/>
  <c r="I152" i="8" s="1"/>
  <c r="H137" i="8"/>
  <c r="I137" i="8" s="1"/>
  <c r="H145" i="8"/>
  <c r="I145" i="8" s="1"/>
  <c r="H153" i="8"/>
  <c r="I153" i="8" s="1"/>
  <c r="D93" i="41"/>
  <c r="G93" i="41"/>
  <c r="B91" i="41"/>
  <c r="F47" i="41" a="1"/>
  <c r="F47" i="41" s="1"/>
  <c r="F236" i="23" s="1"/>
  <c r="F13" i="41" a="1"/>
  <c r="F13" i="41" s="1"/>
  <c r="F14" i="23" s="1"/>
  <c r="F40" i="41" a="1"/>
  <c r="F40" i="41" s="1"/>
  <c r="F140" i="23" s="1"/>
  <c r="F12" i="41" a="1"/>
  <c r="F12" i="41" s="1"/>
  <c r="F33" i="41" a="1"/>
  <c r="F33" i="41" s="1"/>
  <c r="F22" i="23" s="1"/>
  <c r="F41" i="41" a="1"/>
  <c r="F41" i="41" s="1"/>
  <c r="F160" i="23" s="1"/>
  <c r="F16" i="41" a="1"/>
  <c r="F16" i="41" s="1"/>
  <c r="F34" i="41" a="1"/>
  <c r="F34" i="41" s="1"/>
  <c r="F29" i="23" s="1"/>
  <c r="F42" i="41" a="1"/>
  <c r="F42" i="41" s="1"/>
  <c r="F172" i="23" s="1"/>
  <c r="F30" i="41" a="1"/>
  <c r="F30" i="41" s="1"/>
  <c r="F17" i="41" a="1"/>
  <c r="F17" i="41" s="1"/>
  <c r="F35" i="41" a="1"/>
  <c r="F35" i="41" s="1"/>
  <c r="F50" i="23" s="1"/>
  <c r="F43" i="41" a="1"/>
  <c r="F43" i="41" s="1"/>
  <c r="F179" i="23" s="1"/>
  <c r="F19" i="41" a="1"/>
  <c r="F19" i="41" s="1"/>
  <c r="F36" i="41" a="1"/>
  <c r="F36" i="41" s="1"/>
  <c r="F60" i="23" s="1"/>
  <c r="F44" i="41" a="1"/>
  <c r="F44" i="41" s="1"/>
  <c r="F211" i="23" s="1"/>
  <c r="F23" i="41" a="1"/>
  <c r="F23" i="41" s="1"/>
  <c r="F37" i="41" a="1"/>
  <c r="F37" i="41" s="1"/>
  <c r="F80" i="23" s="1"/>
  <c r="F45" i="41" a="1"/>
  <c r="F45" i="41" s="1"/>
  <c r="F217" i="23" s="1"/>
  <c r="F46" i="41" a="1"/>
  <c r="F46" i="41" s="1"/>
  <c r="F227" i="23" s="1"/>
  <c r="F25" i="41" a="1"/>
  <c r="F25" i="41" s="1"/>
  <c r="F38" i="41" a="1"/>
  <c r="F38" i="41" s="1"/>
  <c r="F100" i="23" s="1"/>
  <c r="F8" i="41" a="1"/>
  <c r="F8" i="41" s="1"/>
  <c r="F1" i="43" s="1"/>
  <c r="F29" i="41" a="1"/>
  <c r="F29" i="41" s="1"/>
  <c r="F199" i="23" s="1"/>
  <c r="F202" i="23" s="1"/>
  <c r="F39" i="41" a="1"/>
  <c r="F39" i="41" s="1"/>
  <c r="F120" i="23" s="1"/>
  <c r="I175" i="8"/>
  <c r="H128" i="8"/>
  <c r="I128" i="8" s="1"/>
  <c r="I130" i="8"/>
  <c r="H129" i="8"/>
  <c r="I129" i="8" s="1"/>
  <c r="D53" i="35"/>
  <c r="F53" i="35"/>
  <c r="G53" i="35"/>
  <c r="I53" i="35"/>
  <c r="D49" i="35"/>
  <c r="G49" i="35"/>
  <c r="I49" i="35"/>
  <c r="D25" i="35"/>
  <c r="F186" i="23" l="1" a="1"/>
  <c r="F186" i="23" s="1"/>
  <c r="F188" i="23" s="1"/>
  <c r="F14" i="41"/>
  <c r="F164" i="23"/>
  <c r="D89" i="41"/>
  <c r="G92" i="41"/>
  <c r="G96" i="41"/>
  <c r="D96" i="41"/>
  <c r="D92" i="41"/>
  <c r="F1" i="8"/>
  <c r="F13" i="23"/>
  <c r="F221" i="23"/>
  <c r="F224" i="23" s="1"/>
  <c r="F228" i="23" s="1"/>
  <c r="F215" i="23"/>
  <c r="F235" i="23"/>
  <c r="F237" i="23" s="1"/>
  <c r="F1" i="41"/>
  <c r="F1" i="35"/>
  <c r="F1" i="23"/>
  <c r="F55" i="23"/>
  <c r="F88" i="41" l="1"/>
  <c r="F24" i="35"/>
  <c r="F167" i="23" a="1"/>
  <c r="F167" i="23" s="1"/>
  <c r="F170" i="23" a="1"/>
  <c r="F170" i="23" s="1"/>
  <c r="F166" i="23"/>
  <c r="I91" i="35"/>
  <c r="H91" i="35"/>
  <c r="G91" i="35"/>
  <c r="F91" i="35"/>
  <c r="D91" i="35"/>
  <c r="I90" i="35"/>
  <c r="G90" i="35"/>
  <c r="F90" i="35"/>
  <c r="D90" i="35"/>
  <c r="I87" i="35"/>
  <c r="H87" i="35"/>
  <c r="G87" i="35"/>
  <c r="F87" i="35"/>
  <c r="D87" i="35"/>
  <c r="I86" i="35"/>
  <c r="G86" i="35"/>
  <c r="F86" i="35"/>
  <c r="D86" i="35"/>
  <c r="I79" i="35"/>
  <c r="H79" i="35"/>
  <c r="G79" i="35"/>
  <c r="F79" i="35"/>
  <c r="D79" i="35"/>
  <c r="I69" i="35"/>
  <c r="G69" i="35"/>
  <c r="F69" i="35"/>
  <c r="D69" i="35"/>
  <c r="G65" i="35"/>
  <c r="F65" i="35"/>
  <c r="D65" i="35"/>
  <c r="G62" i="35"/>
  <c r="F62" i="35"/>
  <c r="D62" i="35"/>
  <c r="G58" i="35"/>
  <c r="F58" i="35"/>
  <c r="D58" i="35"/>
  <c r="G43" i="35"/>
  <c r="D43" i="35"/>
  <c r="G24" i="35"/>
  <c r="G23" i="35"/>
  <c r="G22" i="35"/>
  <c r="G21" i="35"/>
  <c r="G20" i="35"/>
  <c r="G19" i="35"/>
  <c r="G18" i="35"/>
  <c r="G17" i="35"/>
  <c r="G16" i="35"/>
  <c r="G15" i="35"/>
  <c r="G14" i="35"/>
  <c r="G13" i="35"/>
  <c r="G12" i="35"/>
  <c r="G11" i="35"/>
  <c r="G10" i="35"/>
  <c r="F218" i="23"/>
  <c r="G206" i="23"/>
  <c r="F206" i="23"/>
  <c r="D206" i="23"/>
  <c r="G156" i="23"/>
  <c r="F156" i="23"/>
  <c r="D156" i="23"/>
  <c r="G155" i="23"/>
  <c r="F155" i="23"/>
  <c r="D155" i="23"/>
  <c r="G154" i="23"/>
  <c r="F154" i="23"/>
  <c r="D154" i="23"/>
  <c r="G146" i="23"/>
  <c r="F146" i="23"/>
  <c r="D146" i="23"/>
  <c r="G145" i="23"/>
  <c r="D145" i="23"/>
  <c r="G136" i="23"/>
  <c r="F136" i="23"/>
  <c r="D136" i="23"/>
  <c r="G135" i="23"/>
  <c r="F135" i="23"/>
  <c r="D135" i="23"/>
  <c r="G134" i="23"/>
  <c r="F134" i="23"/>
  <c r="D134" i="23"/>
  <c r="G126" i="23"/>
  <c r="F126" i="23"/>
  <c r="D126" i="23"/>
  <c r="G125" i="23"/>
  <c r="D125" i="23"/>
  <c r="G116" i="23"/>
  <c r="F116" i="23"/>
  <c r="D116" i="23"/>
  <c r="G115" i="23"/>
  <c r="F115" i="23"/>
  <c r="D115" i="23"/>
  <c r="G114" i="23"/>
  <c r="F114" i="23"/>
  <c r="D114" i="23"/>
  <c r="G106" i="23"/>
  <c r="F106" i="23"/>
  <c r="D106" i="23"/>
  <c r="G105" i="23"/>
  <c r="D105" i="23"/>
  <c r="G96" i="23"/>
  <c r="F96" i="23"/>
  <c r="D96" i="23"/>
  <c r="G95" i="23"/>
  <c r="F95" i="23"/>
  <c r="D95" i="23"/>
  <c r="G94" i="23"/>
  <c r="F94" i="23"/>
  <c r="D94" i="23"/>
  <c r="G86" i="23"/>
  <c r="F86" i="23"/>
  <c r="D86" i="23"/>
  <c r="G85" i="23"/>
  <c r="D85" i="23"/>
  <c r="G76" i="23"/>
  <c r="F76" i="23"/>
  <c r="D76" i="23"/>
  <c r="G75" i="23"/>
  <c r="F75" i="23"/>
  <c r="D75" i="23"/>
  <c r="G74" i="23"/>
  <c r="F74" i="23"/>
  <c r="D74" i="23"/>
  <c r="G66" i="23"/>
  <c r="F66" i="23"/>
  <c r="D66" i="23"/>
  <c r="G65" i="23"/>
  <c r="D65" i="23"/>
  <c r="G58" i="23"/>
  <c r="D58" i="23"/>
  <c r="G54" i="23"/>
  <c r="F54" i="23"/>
  <c r="D54" i="23"/>
  <c r="G40" i="23"/>
  <c r="F40" i="23"/>
  <c r="D40" i="23"/>
  <c r="G28" i="23"/>
  <c r="F28" i="23"/>
  <c r="D28" i="23"/>
  <c r="G26" i="23"/>
  <c r="D26" i="23"/>
  <c r="G12" i="23"/>
  <c r="F12" i="23"/>
  <c r="F16" i="23" s="1"/>
  <c r="D12" i="23"/>
  <c r="G187" i="8"/>
  <c r="F187" i="8"/>
  <c r="D187" i="8"/>
  <c r="G106" i="8"/>
  <c r="F106" i="8"/>
  <c r="G111" i="8" s="1"/>
  <c r="D106" i="8"/>
  <c r="G88" i="8"/>
  <c r="F88" i="8"/>
  <c r="D88" i="8"/>
  <c r="G51" i="8"/>
  <c r="F51" i="8"/>
  <c r="D51" i="8"/>
  <c r="G19" i="8"/>
  <c r="F19" i="8"/>
  <c r="D19" i="8"/>
  <c r="H190" i="8" l="1"/>
  <c r="G191" i="8"/>
  <c r="H189" i="8"/>
  <c r="F192" i="8"/>
  <c r="F189" i="8"/>
  <c r="F190" i="8"/>
  <c r="G189" i="8"/>
  <c r="H191" i="8"/>
  <c r="F191" i="8"/>
  <c r="H192" i="8"/>
  <c r="G192" i="8"/>
  <c r="G190" i="8"/>
  <c r="F94" i="8"/>
  <c r="H91" i="8"/>
  <c r="F86" i="41"/>
  <c r="F22" i="35"/>
  <c r="F168" i="23"/>
  <c r="G28" i="8"/>
  <c r="G23" i="8"/>
  <c r="F176" i="23"/>
  <c r="F180" i="23" s="1"/>
  <c r="F109" i="8"/>
  <c r="H109" i="8"/>
  <c r="I93" i="8"/>
  <c r="G94" i="8"/>
  <c r="G25" i="8"/>
  <c r="H90" i="8"/>
  <c r="G29" i="8"/>
  <c r="F91" i="8"/>
  <c r="G91" i="8"/>
  <c r="G22" i="8"/>
  <c r="H92" i="8"/>
  <c r="F93" i="8"/>
  <c r="F111" i="8"/>
  <c r="I91" i="8"/>
  <c r="H94" i="8"/>
  <c r="G24" i="8"/>
  <c r="G92" i="8"/>
  <c r="I94" i="8"/>
  <c r="G27" i="8"/>
  <c r="G90" i="8"/>
  <c r="I92" i="8"/>
  <c r="I90" i="8"/>
  <c r="G93" i="8"/>
  <c r="G69" i="8"/>
  <c r="G61" i="8"/>
  <c r="G67" i="8"/>
  <c r="G59" i="8"/>
  <c r="G62" i="8"/>
  <c r="G66" i="8"/>
  <c r="G58" i="8"/>
  <c r="G54" i="8"/>
  <c r="G65" i="8"/>
  <c r="G57" i="8"/>
  <c r="G64" i="8"/>
  <c r="G56" i="8"/>
  <c r="G63" i="8"/>
  <c r="G55" i="8"/>
  <c r="G60" i="8"/>
  <c r="G68" i="8"/>
  <c r="G26" i="8"/>
  <c r="H93" i="8"/>
  <c r="I109" i="8"/>
  <c r="I111" i="8"/>
  <c r="F108" i="8"/>
  <c r="F110" i="8"/>
  <c r="F112" i="8"/>
  <c r="F90" i="8"/>
  <c r="F92" i="8"/>
  <c r="G108" i="8"/>
  <c r="G110" i="8"/>
  <c r="G112" i="8"/>
  <c r="H108" i="8"/>
  <c r="H110" i="8"/>
  <c r="H112" i="8"/>
  <c r="H111" i="8"/>
  <c r="I108" i="8"/>
  <c r="I110" i="8"/>
  <c r="I112" i="8"/>
  <c r="G109" i="8"/>
  <c r="F35" i="23"/>
  <c r="F84" i="41" l="1"/>
  <c r="F20" i="35"/>
  <c r="F173" i="23"/>
  <c r="F19" i="35" s="1"/>
  <c r="F205" i="23"/>
  <c r="F190" i="23"/>
  <c r="F193" i="23" s="1"/>
  <c r="F83" i="41" l="1"/>
  <c r="B9" i="35"/>
  <c r="B73" i="41" l="1"/>
  <c r="F85" i="23"/>
  <c r="F105" i="23"/>
  <c r="F26" i="23"/>
  <c r="F125" i="23"/>
  <c r="F58" i="23"/>
  <c r="F145" i="23"/>
  <c r="F65" i="23"/>
  <c r="F71" i="23" l="1"/>
  <c r="A1" i="8"/>
  <c r="A1" i="23"/>
  <c r="F45" i="23"/>
  <c r="F48" i="23" s="1"/>
  <c r="D237" i="23"/>
  <c r="D228" i="23"/>
  <c r="D218" i="23"/>
  <c r="D86" i="41" s="1"/>
  <c r="D212" i="23"/>
  <c r="D180" i="23"/>
  <c r="D173" i="23"/>
  <c r="D161" i="23"/>
  <c r="D141" i="23"/>
  <c r="D121" i="23"/>
  <c r="D101" i="23"/>
  <c r="D81" i="23"/>
  <c r="D61" i="23"/>
  <c r="D51" i="23"/>
  <c r="D30" i="23"/>
  <c r="D23" i="23"/>
  <c r="F207" i="23"/>
  <c r="F208" i="23" s="1"/>
  <c r="F212" i="23" s="1"/>
  <c r="F59" i="23"/>
  <c r="K2" i="35"/>
  <c r="K79" i="35" s="1"/>
  <c r="K80" i="35" s="1"/>
  <c r="K83" i="35" s="1"/>
  <c r="A1" i="35"/>
  <c r="D18" i="35" l="1"/>
  <c r="D82" i="41"/>
  <c r="D11" i="35"/>
  <c r="D75" i="41"/>
  <c r="D19" i="35"/>
  <c r="D83" i="41"/>
  <c r="D12" i="35"/>
  <c r="D76" i="41"/>
  <c r="D20" i="35"/>
  <c r="D84" i="41"/>
  <c r="D16" i="35"/>
  <c r="D80" i="41"/>
  <c r="D13" i="35"/>
  <c r="D77" i="41"/>
  <c r="D21" i="35"/>
  <c r="D85" i="41"/>
  <c r="D14" i="35"/>
  <c r="D78" i="41"/>
  <c r="D15" i="35"/>
  <c r="D79" i="41"/>
  <c r="D23" i="35"/>
  <c r="D87" i="41"/>
  <c r="D24" i="35"/>
  <c r="D88" i="41"/>
  <c r="D17" i="35"/>
  <c r="D81" i="41"/>
  <c r="D10" i="35"/>
  <c r="D74" i="41"/>
  <c r="F102" i="41"/>
  <c r="K91" i="35"/>
  <c r="K87" i="35"/>
  <c r="D22" i="35"/>
  <c r="L2" i="35"/>
  <c r="L79" i="35" s="1"/>
  <c r="L80" i="35" s="1"/>
  <c r="L83" i="35" s="1"/>
  <c r="F131" i="23"/>
  <c r="F147" i="23"/>
  <c r="F87" i="23"/>
  <c r="F67" i="23"/>
  <c r="F151" i="23"/>
  <c r="F107" i="23"/>
  <c r="F127" i="23"/>
  <c r="L91" i="35" l="1"/>
  <c r="L87" i="35"/>
  <c r="M2" i="35"/>
  <c r="M79" i="35" s="1"/>
  <c r="M80" i="35" s="1"/>
  <c r="M83" i="35" s="1"/>
  <c r="F111" i="23"/>
  <c r="F91" i="23"/>
  <c r="M87" i="35" l="1"/>
  <c r="M91" i="35"/>
  <c r="N2" i="35"/>
  <c r="N79" i="35" s="1"/>
  <c r="N80" i="35" s="1"/>
  <c r="N83" i="35" s="1"/>
  <c r="N91" i="35" l="1"/>
  <c r="N87" i="35"/>
  <c r="O2" i="35"/>
  <c r="O79" i="35" s="1"/>
  <c r="O80" i="35" s="1"/>
  <c r="O83" i="35" s="1"/>
  <c r="F23" i="35" l="1"/>
  <c r="O87" i="35"/>
  <c r="O91" i="35"/>
  <c r="P2" i="35"/>
  <c r="P79" i="35" s="1"/>
  <c r="P80" i="35" s="1"/>
  <c r="P83" i="35" s="1"/>
  <c r="F68" i="23"/>
  <c r="F21" i="35"/>
  <c r="F27" i="23"/>
  <c r="F30" i="23" s="1"/>
  <c r="F75" i="41" s="1"/>
  <c r="F87" i="41" l="1"/>
  <c r="F85" i="41"/>
  <c r="P91" i="35"/>
  <c r="P87" i="35"/>
  <c r="Q2" i="35"/>
  <c r="Q79" i="35" s="1"/>
  <c r="Q80" i="35" s="1"/>
  <c r="Q83" i="35" s="1"/>
  <c r="F128" i="23"/>
  <c r="F148" i="23"/>
  <c r="F108" i="23"/>
  <c r="F88" i="23"/>
  <c r="F19" i="23"/>
  <c r="F112" i="23"/>
  <c r="F117" i="23" s="1"/>
  <c r="F92" i="23"/>
  <c r="F97" i="23" s="1"/>
  <c r="F72" i="23"/>
  <c r="F77" i="23" s="1"/>
  <c r="F81" i="23" s="1"/>
  <c r="F132" i="23"/>
  <c r="F137" i="23" s="1"/>
  <c r="F152" i="23"/>
  <c r="F157" i="23" s="1"/>
  <c r="F56" i="23"/>
  <c r="F61" i="23" s="1"/>
  <c r="F78" i="41" l="1"/>
  <c r="F14" i="35"/>
  <c r="F77" i="41"/>
  <c r="F13" i="35"/>
  <c r="F101" i="23"/>
  <c r="F121" i="23"/>
  <c r="F161" i="23"/>
  <c r="F51" i="23"/>
  <c r="F76" i="41" s="1"/>
  <c r="F141" i="23"/>
  <c r="F23" i="23"/>
  <c r="F74" i="41" s="1"/>
  <c r="Q87" i="35"/>
  <c r="Q91" i="35"/>
  <c r="F11" i="35"/>
  <c r="R2" i="35"/>
  <c r="R79" i="35" s="1"/>
  <c r="R80" i="35" s="1"/>
  <c r="R83" i="35" s="1"/>
  <c r="F80" i="41" l="1"/>
  <c r="F16" i="35"/>
  <c r="F82" i="41"/>
  <c r="F18" i="35"/>
  <c r="F79" i="41"/>
  <c r="F15" i="35"/>
  <c r="F81" i="41"/>
  <c r="F17" i="35"/>
  <c r="F29" i="35"/>
  <c r="F12" i="35"/>
  <c r="R91" i="35"/>
  <c r="R87" i="35"/>
  <c r="F10" i="35"/>
  <c r="S2" i="35"/>
  <c r="S79" i="35" s="1"/>
  <c r="S80" i="35" s="1"/>
  <c r="S83" i="35" s="1"/>
  <c r="J31" i="35" l="1"/>
  <c r="T31" i="35"/>
  <c r="T49" i="35" s="1"/>
  <c r="AO31" i="35"/>
  <c r="AO49" i="35" s="1"/>
  <c r="AP31" i="35"/>
  <c r="AP49" i="35" s="1"/>
  <c r="AQ31" i="35"/>
  <c r="AQ49" i="35" s="1"/>
  <c r="AR31" i="35"/>
  <c r="AR49" i="35" s="1"/>
  <c r="AS31" i="35"/>
  <c r="AS49" i="35" s="1"/>
  <c r="AT31" i="35"/>
  <c r="AT49" i="35" s="1"/>
  <c r="AK31" i="35"/>
  <c r="AK49" i="35" s="1"/>
  <c r="AC31" i="35"/>
  <c r="AC49" i="35" s="1"/>
  <c r="U31" i="35"/>
  <c r="U49" i="35" s="1"/>
  <c r="M31" i="35"/>
  <c r="M49" i="35" s="1"/>
  <c r="AJ31" i="35"/>
  <c r="AJ49" i="35" s="1"/>
  <c r="AB31" i="35"/>
  <c r="AB49" i="35" s="1"/>
  <c r="L31" i="35"/>
  <c r="L49" i="35" s="1"/>
  <c r="AI31" i="35"/>
  <c r="AI49" i="35" s="1"/>
  <c r="AA31" i="35"/>
  <c r="AA49" i="35" s="1"/>
  <c r="S31" i="35"/>
  <c r="S49" i="35" s="1"/>
  <c r="K31" i="35"/>
  <c r="K49" i="35" s="1"/>
  <c r="O31" i="35"/>
  <c r="O49" i="35" s="1"/>
  <c r="V31" i="35"/>
  <c r="V49" i="35" s="1"/>
  <c r="AH31" i="35"/>
  <c r="AH49" i="35" s="1"/>
  <c r="Z31" i="35"/>
  <c r="Z49" i="35" s="1"/>
  <c r="R31" i="35"/>
  <c r="R49" i="35" s="1"/>
  <c r="AE31" i="35"/>
  <c r="AE49" i="35" s="1"/>
  <c r="AG31" i="35"/>
  <c r="AG49" i="35" s="1"/>
  <c r="Y31" i="35"/>
  <c r="Y49" i="35" s="1"/>
  <c r="Q31" i="35"/>
  <c r="Q49" i="35" s="1"/>
  <c r="W31" i="35"/>
  <c r="W49" i="35" s="1"/>
  <c r="AD31" i="35"/>
  <c r="AD49" i="35" s="1"/>
  <c r="AN31" i="35"/>
  <c r="AN49" i="35" s="1"/>
  <c r="AF31" i="35"/>
  <c r="AF49" i="35" s="1"/>
  <c r="X31" i="35"/>
  <c r="X49" i="35" s="1"/>
  <c r="P31" i="35"/>
  <c r="P49" i="35" s="1"/>
  <c r="AM31" i="35"/>
  <c r="AM49" i="35" s="1"/>
  <c r="AL31" i="35"/>
  <c r="AL49" i="35" s="1"/>
  <c r="N31" i="35"/>
  <c r="N49" i="35" s="1"/>
  <c r="S87" i="35"/>
  <c r="S91" i="35"/>
  <c r="T2" i="35"/>
  <c r="T79" i="35" s="1"/>
  <c r="T80" i="35" s="1"/>
  <c r="T83" i="35" s="1"/>
  <c r="F25" i="35"/>
  <c r="F43" i="35" s="1"/>
  <c r="J49" i="35" l="1"/>
  <c r="H31" i="35"/>
  <c r="AT46" i="35"/>
  <c r="U46" i="35"/>
  <c r="F89" i="41"/>
  <c r="H16" i="35"/>
  <c r="T91" i="35"/>
  <c r="T87" i="35"/>
  <c r="H10" i="35"/>
  <c r="H20" i="35"/>
  <c r="H19" i="35"/>
  <c r="H23" i="35"/>
  <c r="H22" i="35"/>
  <c r="H21" i="35"/>
  <c r="H24" i="35"/>
  <c r="H12" i="35"/>
  <c r="H11" i="35"/>
  <c r="H13" i="35"/>
  <c r="H18" i="35"/>
  <c r="H14" i="35"/>
  <c r="H17" i="35"/>
  <c r="H15" i="35"/>
  <c r="U2" i="35"/>
  <c r="U79" i="35" s="1"/>
  <c r="U80" i="35" s="1"/>
  <c r="U83" i="35" s="1"/>
  <c r="H58" i="35" l="1"/>
  <c r="H49" i="35"/>
  <c r="J46" i="35"/>
  <c r="J53" i="35" s="1"/>
  <c r="AK46" i="35"/>
  <c r="AK53" i="35" s="1"/>
  <c r="AM46" i="35"/>
  <c r="AM53" i="35" s="1"/>
  <c r="P46" i="35"/>
  <c r="P53" i="35" s="1"/>
  <c r="AS46" i="35"/>
  <c r="AS53" i="35" s="1"/>
  <c r="AO46" i="35"/>
  <c r="AO53" i="35" s="1"/>
  <c r="R46" i="35"/>
  <c r="R53" i="35" s="1"/>
  <c r="AP46" i="35"/>
  <c r="AP53" i="35" s="1"/>
  <c r="X46" i="35"/>
  <c r="X53" i="35" s="1"/>
  <c r="Q46" i="35"/>
  <c r="Q53" i="35" s="1"/>
  <c r="AH46" i="35"/>
  <c r="AH53" i="35" s="1"/>
  <c r="AG46" i="35"/>
  <c r="AG53" i="35" s="1"/>
  <c r="AA46" i="35"/>
  <c r="AA53" i="35" s="1"/>
  <c r="AC46" i="35"/>
  <c r="AC53" i="35" s="1"/>
  <c r="AF46" i="35"/>
  <c r="AF53" i="35" s="1"/>
  <c r="W46" i="35"/>
  <c r="W53" i="35" s="1"/>
  <c r="M46" i="35"/>
  <c r="M53" i="35" s="1"/>
  <c r="Z46" i="35"/>
  <c r="Z53" i="35" s="1"/>
  <c r="AN46" i="35"/>
  <c r="AN53" i="35" s="1"/>
  <c r="AI46" i="35"/>
  <c r="AI53" i="35" s="1"/>
  <c r="U53" i="35"/>
  <c r="Y46" i="35"/>
  <c r="Y53" i="35" s="1"/>
  <c r="O46" i="35"/>
  <c r="O53" i="35" s="1"/>
  <c r="AE46" i="35"/>
  <c r="AE53" i="35" s="1"/>
  <c r="AQ46" i="35"/>
  <c r="AQ53" i="35" s="1"/>
  <c r="AB46" i="35"/>
  <c r="AB53" i="35" s="1"/>
  <c r="AJ46" i="35"/>
  <c r="AJ53" i="35" s="1"/>
  <c r="AT53" i="35"/>
  <c r="V46" i="35"/>
  <c r="V53" i="35" s="1"/>
  <c r="T46" i="35"/>
  <c r="T53" i="35" s="1"/>
  <c r="S46" i="35"/>
  <c r="S53" i="35" s="1"/>
  <c r="AR46" i="35"/>
  <c r="AR53" i="35" s="1"/>
  <c r="AL46" i="35"/>
  <c r="AL53" i="35" s="1"/>
  <c r="K46" i="35"/>
  <c r="K53" i="35" s="1"/>
  <c r="L46" i="35"/>
  <c r="L53" i="35" s="1"/>
  <c r="AD46" i="35"/>
  <c r="AD53" i="35" s="1"/>
  <c r="N46" i="35"/>
  <c r="N53" i="35" s="1"/>
  <c r="H65" i="35"/>
  <c r="U91" i="35"/>
  <c r="U87" i="35"/>
  <c r="V2" i="35"/>
  <c r="V79" i="35" s="1"/>
  <c r="V80" i="35" s="1"/>
  <c r="V83" i="35" s="1"/>
  <c r="H25" i="35"/>
  <c r="H46" i="35" l="1"/>
  <c r="H53" i="35" s="1"/>
  <c r="F92" i="41"/>
  <c r="V91" i="35"/>
  <c r="V87" i="35"/>
  <c r="W2" i="35"/>
  <c r="W79" i="35" s="1"/>
  <c r="W80" i="35" s="1"/>
  <c r="W83" i="35" s="1"/>
  <c r="W87" i="35" l="1"/>
  <c r="W91" i="35"/>
  <c r="H62" i="35"/>
  <c r="X2" i="35"/>
  <c r="X79" i="35" s="1"/>
  <c r="X80" i="35" s="1"/>
  <c r="X83" i="35" s="1"/>
  <c r="F96" i="41" l="1"/>
  <c r="X91" i="35"/>
  <c r="X87" i="35"/>
  <c r="Y2" i="35"/>
  <c r="Y79" i="35" s="1"/>
  <c r="Y80" i="35" s="1"/>
  <c r="Y83" i="35" s="1"/>
  <c r="Y91" i="35" l="1"/>
  <c r="Y87" i="35"/>
  <c r="Z2" i="35"/>
  <c r="Z79" i="35" s="1"/>
  <c r="Z80" i="35" s="1"/>
  <c r="Z83" i="35" s="1"/>
  <c r="Z87" i="35" l="1"/>
  <c r="Z91" i="35"/>
  <c r="AA2" i="35"/>
  <c r="AA79" i="35" s="1"/>
  <c r="AA80" i="35" s="1"/>
  <c r="AA83" i="35" s="1"/>
  <c r="AA91" i="35" l="1"/>
  <c r="AA87" i="35"/>
  <c r="AB2" i="35"/>
  <c r="AB79" i="35" s="1"/>
  <c r="AB80" i="35" s="1"/>
  <c r="AB83" i="35" s="1"/>
  <c r="AB87" i="35" l="1"/>
  <c r="AB91" i="35"/>
  <c r="AC2" i="35"/>
  <c r="AC79" i="35" s="1"/>
  <c r="AC80" i="35" s="1"/>
  <c r="AC83" i="35" s="1"/>
  <c r="AC91" i="35" l="1"/>
  <c r="AC87" i="35"/>
  <c r="AD2" i="35"/>
  <c r="AD79" i="35" s="1"/>
  <c r="AD80" i="35" s="1"/>
  <c r="AD83" i="35" s="1"/>
  <c r="AD87" i="35" l="1"/>
  <c r="AD91" i="35"/>
  <c r="AE2" i="35"/>
  <c r="AE79" i="35" s="1"/>
  <c r="AE80" i="35" s="1"/>
  <c r="AE83" i="35" s="1"/>
  <c r="AE91" i="35" l="1"/>
  <c r="AE87" i="35"/>
  <c r="AF2" i="35"/>
  <c r="AF79" i="35" s="1"/>
  <c r="AF80" i="35" s="1"/>
  <c r="AF83" i="35" s="1"/>
  <c r="AF87" i="35" l="1"/>
  <c r="AF91" i="35"/>
  <c r="AG2" i="35"/>
  <c r="AG79" i="35" s="1"/>
  <c r="AG80" i="35" s="1"/>
  <c r="AG83" i="35" s="1"/>
  <c r="AG87" i="35" l="1"/>
  <c r="AG91" i="35"/>
  <c r="AH2" i="35"/>
  <c r="AH79" i="35" s="1"/>
  <c r="AH80" i="35" s="1"/>
  <c r="AH83" i="35" s="1"/>
  <c r="AH91" i="35" l="1"/>
  <c r="AH87" i="35"/>
  <c r="AI2" i="35"/>
  <c r="AI79" i="35" s="1"/>
  <c r="AI80" i="35" s="1"/>
  <c r="AI83" i="35" s="1"/>
  <c r="AI87" i="35" l="1"/>
  <c r="AI91" i="35"/>
  <c r="AJ2" i="35"/>
  <c r="AJ79" i="35" s="1"/>
  <c r="AJ80" i="35" s="1"/>
  <c r="AJ83" i="35" s="1"/>
  <c r="AJ91" i="35" l="1"/>
  <c r="AJ87" i="35"/>
  <c r="AK2" i="35"/>
  <c r="AK79" i="35" s="1"/>
  <c r="AK80" i="35" s="1"/>
  <c r="AK83" i="35" s="1"/>
  <c r="AK87" i="35" l="1"/>
  <c r="AK91" i="35"/>
  <c r="AL2" i="35"/>
  <c r="AL79" i="35" s="1"/>
  <c r="AL80" i="35" s="1"/>
  <c r="AL83" i="35" s="1"/>
  <c r="AL87" i="35" l="1"/>
  <c r="AL91" i="35"/>
  <c r="AM2" i="35"/>
  <c r="AM79" i="35" s="1"/>
  <c r="AM80" i="35" s="1"/>
  <c r="AM83" i="35" s="1"/>
  <c r="AM87" i="35" l="1"/>
  <c r="AM91" i="35"/>
  <c r="AN2" i="35"/>
  <c r="AN79" i="35" l="1"/>
  <c r="AN80" i="35" s="1"/>
  <c r="AN83" i="35" s="1"/>
  <c r="AN87" i="35" s="1"/>
  <c r="AO2" i="35"/>
  <c r="AN91" i="35" l="1"/>
  <c r="AP2" i="35"/>
  <c r="AO79" i="35"/>
  <c r="AO80" i="35" s="1"/>
  <c r="AO83" i="35" s="1"/>
  <c r="AO87" i="35" l="1"/>
  <c r="AO91" i="35"/>
  <c r="AQ2" i="35"/>
  <c r="AP79" i="35"/>
  <c r="AP80" i="35" s="1"/>
  <c r="AP83" i="35" s="1"/>
  <c r="AP91" i="35" l="1"/>
  <c r="AP87" i="35"/>
  <c r="AR2" i="35"/>
  <c r="AQ79" i="35"/>
  <c r="AQ80" i="35" s="1"/>
  <c r="AQ83" i="35" s="1"/>
  <c r="AQ91" i="35" l="1"/>
  <c r="AQ87" i="35"/>
  <c r="AS2" i="35"/>
  <c r="AR79" i="35"/>
  <c r="AR80" i="35" s="1"/>
  <c r="AR83" i="35" s="1"/>
  <c r="AR91" i="35" l="1"/>
  <c r="AR87" i="35"/>
  <c r="AT2" i="35"/>
  <c r="AT79" i="35" s="1"/>
  <c r="AS79" i="35"/>
  <c r="AS80" i="35" l="1"/>
  <c r="AS83" i="35" s="1"/>
  <c r="AT80" i="35"/>
  <c r="AT83" i="35" s="1"/>
  <c r="AT91" i="35" l="1"/>
  <c r="AT87" i="35"/>
  <c r="AS91" i="35"/>
  <c r="AS87" i="35"/>
  <c r="AC40" i="35"/>
  <c r="AC50" i="35" s="1"/>
  <c r="AC51" i="35" s="1"/>
  <c r="AC86" i="35" l="1"/>
  <c r="AC54" i="35"/>
  <c r="AC69" i="35"/>
  <c r="R40" i="35"/>
  <c r="R50" i="35" s="1"/>
  <c r="R51" i="35" s="1"/>
  <c r="AQ40" i="35"/>
  <c r="AQ50" i="35" s="1"/>
  <c r="AQ51" i="35" s="1"/>
  <c r="AN40" i="35"/>
  <c r="AN50" i="35" s="1"/>
  <c r="AN51" i="35" s="1"/>
  <c r="AS40" i="35"/>
  <c r="AS50" i="35" s="1"/>
  <c r="AS51" i="35" s="1"/>
  <c r="AF40" i="35"/>
  <c r="AF50" i="35" s="1"/>
  <c r="AF51" i="35" s="1"/>
  <c r="K40" i="35"/>
  <c r="K50" i="35" s="1"/>
  <c r="K51" i="35" s="1"/>
  <c r="Y40" i="35"/>
  <c r="Y50" i="35" s="1"/>
  <c r="Y51" i="35" s="1"/>
  <c r="Q40" i="35"/>
  <c r="Q50" i="35" s="1"/>
  <c r="Q51" i="35" s="1"/>
  <c r="T40" i="35"/>
  <c r="T50" i="35" s="1"/>
  <c r="T51" i="35" s="1"/>
  <c r="AE40" i="35"/>
  <c r="AE50" i="35" s="1"/>
  <c r="AE51" i="35" s="1"/>
  <c r="W40" i="35"/>
  <c r="W50" i="35" s="1"/>
  <c r="W51" i="35" s="1"/>
  <c r="M40" i="35"/>
  <c r="M50" i="35" s="1"/>
  <c r="M51" i="35" s="1"/>
  <c r="AL40" i="35"/>
  <c r="AL50" i="35" s="1"/>
  <c r="AL51" i="35" s="1"/>
  <c r="AI40" i="35"/>
  <c r="AI50" i="35" s="1"/>
  <c r="AI51" i="35" s="1"/>
  <c r="J40" i="35"/>
  <c r="AG40" i="35"/>
  <c r="AG50" i="35" s="1"/>
  <c r="AG51" i="35" s="1"/>
  <c r="N40" i="35"/>
  <c r="N50" i="35" s="1"/>
  <c r="N51" i="35" s="1"/>
  <c r="AD40" i="35"/>
  <c r="AD50" i="35" s="1"/>
  <c r="AD51" i="35" s="1"/>
  <c r="Z40" i="35"/>
  <c r="Z50" i="35" s="1"/>
  <c r="Z51" i="35" s="1"/>
  <c r="X40" i="35"/>
  <c r="X50" i="35" s="1"/>
  <c r="X51" i="35" s="1"/>
  <c r="AK40" i="35"/>
  <c r="AK50" i="35" s="1"/>
  <c r="AK51" i="35" s="1"/>
  <c r="AO40" i="35"/>
  <c r="AO50" i="35" s="1"/>
  <c r="AO51" i="35" s="1"/>
  <c r="AP40" i="35"/>
  <c r="AP50" i="35" s="1"/>
  <c r="AP51" i="35" s="1"/>
  <c r="V40" i="35"/>
  <c r="V50" i="35" s="1"/>
  <c r="V51" i="35" s="1"/>
  <c r="S40" i="35"/>
  <c r="S50" i="35" s="1"/>
  <c r="S51" i="35" s="1"/>
  <c r="AM40" i="35"/>
  <c r="AM50" i="35" s="1"/>
  <c r="AM51" i="35" s="1"/>
  <c r="L40" i="35"/>
  <c r="L50" i="35" s="1"/>
  <c r="L51" i="35" s="1"/>
  <c r="AB40" i="35"/>
  <c r="AB50" i="35" s="1"/>
  <c r="AB51" i="35" s="1"/>
  <c r="O40" i="35"/>
  <c r="O50" i="35" s="1"/>
  <c r="O51" i="35" s="1"/>
  <c r="AJ40" i="35"/>
  <c r="AJ50" i="35" s="1"/>
  <c r="AJ51" i="35" s="1"/>
  <c r="U50" i="35"/>
  <c r="U51" i="35" s="1"/>
  <c r="AT40" i="35"/>
  <c r="AT50" i="35" s="1"/>
  <c r="AT51" i="35" s="1"/>
  <c r="AR40" i="35"/>
  <c r="AR50" i="35" s="1"/>
  <c r="AR51" i="35" s="1"/>
  <c r="P40" i="35"/>
  <c r="P50" i="35" s="1"/>
  <c r="P51" i="35" s="1"/>
  <c r="AH40" i="35"/>
  <c r="AH50" i="35" s="1"/>
  <c r="AH51" i="35" s="1"/>
  <c r="AA40" i="35"/>
  <c r="AA50" i="35" s="1"/>
  <c r="AA51" i="35" s="1"/>
  <c r="AF86" i="35" l="1"/>
  <c r="AF69" i="35"/>
  <c r="AF54" i="35"/>
  <c r="AB86" i="35"/>
  <c r="AB69" i="35"/>
  <c r="AB54" i="35"/>
  <c r="AK54" i="35"/>
  <c r="AK86" i="35"/>
  <c r="AK69" i="35"/>
  <c r="X54" i="35"/>
  <c r="X69" i="35"/>
  <c r="X86" i="35"/>
  <c r="Z69" i="35"/>
  <c r="Z54" i="35"/>
  <c r="Z86" i="35"/>
  <c r="AQ54" i="35"/>
  <c r="AQ69" i="35"/>
  <c r="AQ86" i="35"/>
  <c r="AL86" i="35"/>
  <c r="AL54" i="35"/>
  <c r="AL69" i="35"/>
  <c r="AH54" i="35"/>
  <c r="AH69" i="35"/>
  <c r="AH86" i="35"/>
  <c r="P86" i="35"/>
  <c r="P69" i="35"/>
  <c r="P54" i="35"/>
  <c r="S86" i="35"/>
  <c r="S54" i="35"/>
  <c r="S69" i="35"/>
  <c r="R69" i="35"/>
  <c r="R54" i="35"/>
  <c r="R86" i="35"/>
  <c r="O69" i="35"/>
  <c r="O54" i="35"/>
  <c r="O86" i="35"/>
  <c r="AS69" i="35"/>
  <c r="AS86" i="35"/>
  <c r="AS54" i="35"/>
  <c r="W69" i="35"/>
  <c r="W86" i="35"/>
  <c r="W54" i="35"/>
  <c r="AD54" i="35"/>
  <c r="AD86" i="35"/>
  <c r="AD69" i="35"/>
  <c r="AG69" i="35"/>
  <c r="AG54" i="35"/>
  <c r="AG86" i="35"/>
  <c r="M69" i="35"/>
  <c r="M86" i="35"/>
  <c r="M54" i="35"/>
  <c r="AN86" i="35"/>
  <c r="AN54" i="35"/>
  <c r="AN69" i="35"/>
  <c r="AE69" i="35"/>
  <c r="AE54" i="35"/>
  <c r="AE86" i="35"/>
  <c r="N54" i="35"/>
  <c r="N86" i="35"/>
  <c r="N69" i="35"/>
  <c r="AT86" i="35"/>
  <c r="AT54" i="35"/>
  <c r="AT69" i="35"/>
  <c r="Q54" i="35"/>
  <c r="Q69" i="35"/>
  <c r="Q86" i="35"/>
  <c r="AP54" i="35"/>
  <c r="AP69" i="35"/>
  <c r="AP86" i="35"/>
  <c r="Y86" i="35"/>
  <c r="Y54" i="35"/>
  <c r="Y69" i="35"/>
  <c r="AC72" i="35"/>
  <c r="AC90" i="35"/>
  <c r="AA69" i="35"/>
  <c r="AA54" i="35"/>
  <c r="AA86" i="35"/>
  <c r="L86" i="35"/>
  <c r="L54" i="35"/>
  <c r="L69" i="35"/>
  <c r="AM69" i="35"/>
  <c r="AM86" i="35"/>
  <c r="AM54" i="35"/>
  <c r="AR69" i="35"/>
  <c r="AR86" i="35"/>
  <c r="AR54" i="35"/>
  <c r="T54" i="35"/>
  <c r="T69" i="35"/>
  <c r="T86" i="35"/>
  <c r="V69" i="35"/>
  <c r="V54" i="35"/>
  <c r="V86" i="35"/>
  <c r="U86" i="35"/>
  <c r="U54" i="35"/>
  <c r="U69" i="35"/>
  <c r="J50" i="35"/>
  <c r="J51" i="35" s="1"/>
  <c r="H51" i="35" s="1"/>
  <c r="H86" i="35" s="1"/>
  <c r="H40" i="35"/>
  <c r="AJ69" i="35"/>
  <c r="AJ86" i="35"/>
  <c r="AJ54" i="35"/>
  <c r="AO54" i="35"/>
  <c r="AO69" i="35"/>
  <c r="AO86" i="35"/>
  <c r="AI54" i="35"/>
  <c r="AI86" i="35"/>
  <c r="AI69" i="35"/>
  <c r="K86" i="35"/>
  <c r="K54" i="35"/>
  <c r="K69" i="35"/>
  <c r="Q90" i="35" l="1"/>
  <c r="Q72" i="35"/>
  <c r="AE90" i="35"/>
  <c r="AE72" i="35"/>
  <c r="T90" i="35"/>
  <c r="T72" i="35"/>
  <c r="AB72" i="35"/>
  <c r="AB90" i="35"/>
  <c r="J54" i="35"/>
  <c r="J86" i="35"/>
  <c r="J69" i="35"/>
  <c r="AQ72" i="35"/>
  <c r="AQ90" i="35"/>
  <c r="AK90" i="35"/>
  <c r="AK72" i="35"/>
  <c r="AO90" i="35"/>
  <c r="AO72" i="35"/>
  <c r="R90" i="35"/>
  <c r="R72" i="35"/>
  <c r="AG90" i="35"/>
  <c r="AG72" i="35"/>
  <c r="AH90" i="35"/>
  <c r="AH72" i="35"/>
  <c r="AN90" i="35"/>
  <c r="AN72" i="35"/>
  <c r="AJ90" i="35"/>
  <c r="AJ72" i="35"/>
  <c r="AL90" i="35"/>
  <c r="AL72" i="35"/>
  <c r="AI72" i="35"/>
  <c r="AI90" i="35"/>
  <c r="AT90" i="35"/>
  <c r="AT72" i="35"/>
  <c r="S90" i="35"/>
  <c r="S72" i="35"/>
  <c r="P90" i="35"/>
  <c r="P72" i="35"/>
  <c r="AF90" i="35"/>
  <c r="AF72" i="35"/>
  <c r="Y90" i="35"/>
  <c r="Y72" i="35"/>
  <c r="AR72" i="35"/>
  <c r="AR90" i="35"/>
  <c r="AA90" i="35"/>
  <c r="AA72" i="35"/>
  <c r="V90" i="35"/>
  <c r="V72" i="35"/>
  <c r="AM72" i="35"/>
  <c r="AM90" i="35"/>
  <c r="AP72" i="35"/>
  <c r="AP90" i="35"/>
  <c r="AD72" i="35"/>
  <c r="AD90" i="35"/>
  <c r="O90" i="35"/>
  <c r="O72" i="35"/>
  <c r="N90" i="35"/>
  <c r="N72" i="35"/>
  <c r="W90" i="35"/>
  <c r="W72" i="35"/>
  <c r="X90" i="35"/>
  <c r="X72" i="35"/>
  <c r="L90" i="35"/>
  <c r="L72" i="35"/>
  <c r="AS72" i="35"/>
  <c r="AS90" i="35"/>
  <c r="U90" i="35"/>
  <c r="U72" i="35"/>
  <c r="Z90" i="35"/>
  <c r="Z72" i="35"/>
  <c r="K90" i="35"/>
  <c r="K72" i="35"/>
  <c r="M72" i="35"/>
  <c r="M90" i="35"/>
  <c r="H50" i="35"/>
  <c r="F93" i="41" s="1"/>
  <c r="H61" i="35"/>
  <c r="H63" i="35" s="1"/>
  <c r="F66" i="35" s="1"/>
  <c r="F106" i="41" s="1"/>
  <c r="H57" i="35"/>
  <c r="F59" i="35" s="1"/>
  <c r="F105" i="41" s="1"/>
  <c r="F88" i="35" l="1"/>
  <c r="F111" i="41" s="1"/>
  <c r="F70" i="35"/>
  <c r="F108" i="41" s="1"/>
  <c r="J90" i="35"/>
  <c r="F92" i="35" s="1"/>
  <c r="F112" i="41" s="1"/>
  <c r="H54" i="35"/>
  <c r="H90" i="35" s="1"/>
  <c r="J72" i="35"/>
  <c r="F73" i="35" s="1"/>
  <c r="H69" i="35"/>
  <c r="F94" i="41"/>
  <c r="F109" i="41" l="1"/>
  <c r="H72" i="35"/>
  <c r="F97" i="4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tc={A4D47973-3050-4183-9BCA-CFD62274B39D}</author>
    <author>tc={FE95D89F-44EC-4926-9FDB-062B1BAF3933}</author>
  </authors>
  <commentList>
    <comment ref="D132" authorId="0" shapeId="0" xr:uid="{A4D47973-3050-4183-9BCA-CFD62274B39D}">
      <text>
        <t>[Threaded comment]
Your version of Excel allows you to read this threaded comment; however, any edits to it will get removed if the file is opened in a newer version of Excel. Learn more: https://go.microsoft.com/fwlink/?linkid=870924
Comment:
    What does “nes” mean here?</t>
      </text>
    </comment>
    <comment ref="D144" authorId="1" shapeId="0" xr:uid="{FE95D89F-44EC-4926-9FDB-062B1BAF3933}">
      <text>
        <t>[Threaded comment]
Your version of Excel allows you to read this threaded comment; however, any edits to it will get removed if the file is opened in a newer version of Excel. Learn more: https://go.microsoft.com/fwlink/?linkid=870924
Comment:
    What does “nes” mean here?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<sst xmlns="http://schemas.openxmlformats.org/spreadsheetml/2006/main" count="962" uniqueCount="471">
  <si>
    <t>Cell colours</t>
  </si>
  <si>
    <t>Input</t>
  </si>
  <si>
    <t>Light yellow shade</t>
  </si>
  <si>
    <t>Link from another sheet *</t>
  </si>
  <si>
    <t>Blue font</t>
  </si>
  <si>
    <t>* except outputs that can be presumed to be imported from other sheets.</t>
  </si>
  <si>
    <t>Calculation or a link within the same sheet</t>
  </si>
  <si>
    <t>Black font</t>
  </si>
  <si>
    <t>Link to another sheet **</t>
  </si>
  <si>
    <t>Red font</t>
  </si>
  <si>
    <t>** except inputs that can be presumed to be exported to other sheets.</t>
  </si>
  <si>
    <t>Stored value</t>
  </si>
  <si>
    <t>Light turquoise shade</t>
  </si>
  <si>
    <t>Needs attention</t>
  </si>
  <si>
    <t>Yellow shade</t>
  </si>
  <si>
    <t>Cells with deliberately inconsistent or missing formula</t>
  </si>
  <si>
    <t>Navigation</t>
  </si>
  <si>
    <t>Linked cells</t>
  </si>
  <si>
    <t>To navigate efficiently, the following two key strokes are helpful:</t>
  </si>
  <si>
    <t>1) To go to the source of a linked cell: double click on the cell (as if it were a website link) or press CTRL+ [</t>
  </si>
  <si>
    <t>2) To return to your last position: press F5 + Enter</t>
  </si>
  <si>
    <t>To permit the first of the above to work, you need to change one of Excel's default settings, specifically:</t>
  </si>
  <si>
    <t>Under File, Options, Advanced, un-tick the "Allow editing directly in cells" box:</t>
  </si>
  <si>
    <t>Sections headings</t>
  </si>
  <si>
    <t>Furthermore, the purpose of columns A, B, and C are to act as section headings, partly to aid navigation.</t>
  </si>
  <si>
    <t>Place yourself in either column and use Ctrl + PgUp / PgDn to move efficiently between sections.</t>
  </si>
  <si>
    <t>end</t>
  </si>
  <si>
    <t>Label</t>
  </si>
  <si>
    <t>Ref</t>
  </si>
  <si>
    <t>Value</t>
  </si>
  <si>
    <t>Unit</t>
  </si>
  <si>
    <t>Case 1</t>
  </si>
  <si>
    <t>Case 2</t>
  </si>
  <si>
    <t>Case 3</t>
  </si>
  <si>
    <t>Case 4</t>
  </si>
  <si>
    <t>Case 5</t>
  </si>
  <si>
    <t>Case 6</t>
  </si>
  <si>
    <t>KEY INPUTS</t>
  </si>
  <si>
    <t>Select case from dropdown list:</t>
  </si>
  <si>
    <t>case #</t>
  </si>
  <si>
    <t>Case description</t>
  </si>
  <si>
    <t>case label</t>
  </si>
  <si>
    <t>Base case</t>
  </si>
  <si>
    <t>Different crop and livestock</t>
  </si>
  <si>
    <t>Base inputs</t>
  </si>
  <si>
    <t>Km of diversion</t>
  </si>
  <si>
    <t>km</t>
  </si>
  <si>
    <t>People impacted per day</t>
  </si>
  <si>
    <t>people</t>
  </si>
  <si>
    <t>Vehicle ownership per person</t>
  </si>
  <si>
    <t>vehicle/person</t>
  </si>
  <si>
    <t>Number of vehicles impacted</t>
  </si>
  <si>
    <t>vehicles</t>
  </si>
  <si>
    <t>Number of freight vehicles</t>
  </si>
  <si>
    <t>Tonnes transported by freight vehicles</t>
  </si>
  <si>
    <t>tonnes</t>
  </si>
  <si>
    <t>Vehicle speed</t>
  </si>
  <si>
    <t>km/h</t>
  </si>
  <si>
    <t>Crop and fruit revenue - type</t>
  </si>
  <si>
    <t>type</t>
  </si>
  <si>
    <t>Apples</t>
  </si>
  <si>
    <t>Maize</t>
  </si>
  <si>
    <t>Crop and fruit revenue - list number</t>
  </si>
  <si>
    <t>list number</t>
  </si>
  <si>
    <t xml:space="preserve">Crop and fruit revenue - Lost market access per day (%) </t>
  </si>
  <si>
    <t>%</t>
  </si>
  <si>
    <t>Kg of fish transported</t>
  </si>
  <si>
    <t>kg</t>
  </si>
  <si>
    <t>Livestock revenue - type</t>
  </si>
  <si>
    <t>Meat, cattle</t>
  </si>
  <si>
    <t>Meat, chicken</t>
  </si>
  <si>
    <t>Livestock revenue - list number</t>
  </si>
  <si>
    <t xml:space="preserve">Livestock revenue - Lost market access per day (%) </t>
  </si>
  <si>
    <t>Number of vehicles carrying livestock</t>
  </si>
  <si>
    <t>Sensitivity factors</t>
  </si>
  <si>
    <t>1 Fuel cost - sensitivity factor</t>
  </si>
  <si>
    <t>factor</t>
  </si>
  <si>
    <t>2 O&amp;M cost of vehicles - sensitivity factor</t>
  </si>
  <si>
    <t>3 O&amp;M cost of roads - sensitivity factor</t>
  </si>
  <si>
    <t>4 Cost of travel time - sensitivity factor</t>
  </si>
  <si>
    <t>5 Air pollution - sensitivity factor</t>
  </si>
  <si>
    <t>6 Noise pollution - sensitivity factor</t>
  </si>
  <si>
    <t>7 Water pollution - sensitivity factor</t>
  </si>
  <si>
    <t>8 GHG emissions - sensitivity factor</t>
  </si>
  <si>
    <t>9 Nature and landscape - sensitivity factor</t>
  </si>
  <si>
    <t>10 Crop and fruit revenue - sensitivity factor</t>
  </si>
  <si>
    <t>11 Fish revenue - sensitivity factor</t>
  </si>
  <si>
    <t>12 Livestock revenue - sensitivity factor</t>
  </si>
  <si>
    <t>13 Access to essential items/services - sensitivity factor</t>
  </si>
  <si>
    <t>14 Access to workplace and schools - sensitivity factor</t>
  </si>
  <si>
    <t>15 Mental health - sensitivity factor</t>
  </si>
  <si>
    <t>Analysis inputs</t>
  </si>
  <si>
    <t>follow the label link to edit this series input</t>
  </si>
  <si>
    <t>Cost &amp; price base date - for labelling purposes only</t>
  </si>
  <si>
    <t>year</t>
  </si>
  <si>
    <t>Betterment cost</t>
  </si>
  <si>
    <t>PV discount date (date to which values are discounted)</t>
  </si>
  <si>
    <t>date</t>
  </si>
  <si>
    <t>Average days per year</t>
  </si>
  <si>
    <t>days</t>
  </si>
  <si>
    <t>p.a. real</t>
  </si>
  <si>
    <t>KEY OUTPUTS</t>
  </si>
  <si>
    <t>Copy-paste-value active output values (in column F) into stored output columns (columns H onwards)</t>
  </si>
  <si>
    <t>Event &amp; occurrence summary</t>
  </si>
  <si>
    <t>Key metrics</t>
  </si>
  <si>
    <t>Values</t>
  </si>
  <si>
    <t>Inputs used in more than one section</t>
  </si>
  <si>
    <t>Exchange rate USD to AUD</t>
  </si>
  <si>
    <t>AUD/USD</t>
  </si>
  <si>
    <t>Inflation (1 AUD in 2020 vs 1 AUD in 2021)</t>
  </si>
  <si>
    <t>index</t>
  </si>
  <si>
    <t>Inflation (1 AUD in 2007 vs 1 AUD in 2021)</t>
  </si>
  <si>
    <t>Days per year</t>
  </si>
  <si>
    <t>1 Fuel cost</t>
  </si>
  <si>
    <t>Trips per day</t>
  </si>
  <si>
    <t>veh/day</t>
  </si>
  <si>
    <t>Average fuel consumption per km</t>
  </si>
  <si>
    <t>Fuel price</t>
  </si>
  <si>
    <t>2 O&amp;M cost of vehicles</t>
  </si>
  <si>
    <t>Only the Red font cells are used</t>
  </si>
  <si>
    <t>Basic repairs and servicing cost (cents/km)</t>
  </si>
  <si>
    <t>2007 prices</t>
  </si>
  <si>
    <t>2021 prices</t>
  </si>
  <si>
    <t>Vehicle type</t>
  </si>
  <si>
    <t>cents/km</t>
  </si>
  <si>
    <t>Cars – private</t>
  </si>
  <si>
    <t>Cars – commercial</t>
  </si>
  <si>
    <t>Non-Articulated</t>
  </si>
  <si>
    <t>Buses</t>
  </si>
  <si>
    <t>Articulated</t>
  </si>
  <si>
    <t>B-double</t>
  </si>
  <si>
    <t>Road train 1</t>
  </si>
  <si>
    <t>Road train 2</t>
  </si>
  <si>
    <t>3 O&amp;M cost of roads</t>
  </si>
  <si>
    <t>Tonnes/km/5 year</t>
  </si>
  <si>
    <t>Extra traffic multiplier (cars)</t>
  </si>
  <si>
    <t>multiplier</t>
  </si>
  <si>
    <t>USD/tonnes</t>
  </si>
  <si>
    <t>AUD/tonnes</t>
  </si>
  <si>
    <t>Tonnes/km/year</t>
  </si>
  <si>
    <t>% recycled materials used for O&amp;M of roads</t>
  </si>
  <si>
    <t>years</t>
  </si>
  <si>
    <t>4 Cost of travel time</t>
  </si>
  <si>
    <t>Total value of time (AUD/veh.hr)</t>
  </si>
  <si>
    <t>AUD/veh.hr</t>
  </si>
  <si>
    <t>Cars - private - Rural</t>
  </si>
  <si>
    <t>Cars - private - Urban</t>
  </si>
  <si>
    <t>Cars - commercial - Rural</t>
  </si>
  <si>
    <t>Cars - commercial - Urban</t>
  </si>
  <si>
    <t>Non-Articulated - Rural</t>
  </si>
  <si>
    <t>Non-Articulated - Urban</t>
  </si>
  <si>
    <t>Buses - Rural</t>
  </si>
  <si>
    <t>Buses - Urban</t>
  </si>
  <si>
    <t>Articulated - Rural</t>
  </si>
  <si>
    <t>Articulated - Urban</t>
  </si>
  <si>
    <t>B-double - Rural</t>
  </si>
  <si>
    <t>B-double - Urban</t>
  </si>
  <si>
    <t>Road train 1 - Rural</t>
  </si>
  <si>
    <t>Road train 1 - Urban</t>
  </si>
  <si>
    <t>Road train 2 - Rural</t>
  </si>
  <si>
    <t>Road train 2 - Urban</t>
  </si>
  <si>
    <t>5 Air pollution</t>
  </si>
  <si>
    <t>6 Noise pollution</t>
  </si>
  <si>
    <t>7 Water pollution</t>
  </si>
  <si>
    <t>8 GHG emissions</t>
  </si>
  <si>
    <t>9 Nature and landscape</t>
  </si>
  <si>
    <t>Externality unit costs for passenger vehicles and buses (cents per vehicle kilometres travelled (vkt))</t>
  </si>
  <si>
    <t>Urban</t>
  </si>
  <si>
    <t>Rural</t>
  </si>
  <si>
    <t>Passengers cars</t>
  </si>
  <si>
    <t>AUD cents per vkt</t>
  </si>
  <si>
    <t>Air pollution</t>
  </si>
  <si>
    <t>Greenhouse</t>
  </si>
  <si>
    <t>Noise</t>
  </si>
  <si>
    <t>Water</t>
  </si>
  <si>
    <t>Nature and landscape</t>
  </si>
  <si>
    <t>Externality unit costs for freight vehicles (AUD per 1000 tonne-km)</t>
  </si>
  <si>
    <t>Light vehicles</t>
  </si>
  <si>
    <t>Heavy vehicles</t>
  </si>
  <si>
    <t>Notes</t>
  </si>
  <si>
    <t xml:space="preserve">Air pollution - Harm to health </t>
  </si>
  <si>
    <t>Greenhouse - Climate change</t>
  </si>
  <si>
    <t>Noise - Harm to health and the environment</t>
  </si>
  <si>
    <t>Water - Harm to health and the environment</t>
  </si>
  <si>
    <t xml:space="preserve">Nature and landscape - Harm to the environment &amp; economic activities </t>
  </si>
  <si>
    <t>10 Crop and fruit revenue</t>
  </si>
  <si>
    <t>Yield</t>
  </si>
  <si>
    <t>Producer prices</t>
  </si>
  <si>
    <t>2020 values</t>
  </si>
  <si>
    <t>2020 prices</t>
  </si>
  <si>
    <t xml:space="preserve"> tonnes/ha</t>
  </si>
  <si>
    <t xml:space="preserve"> USD/tonne</t>
  </si>
  <si>
    <t xml:space="preserve"> AUD/tonne</t>
  </si>
  <si>
    <t>Avocados</t>
  </si>
  <si>
    <t>Bananas</t>
  </si>
  <si>
    <t>Barley</t>
  </si>
  <si>
    <t>Beans, green</t>
  </si>
  <si>
    <t>Berries nes</t>
  </si>
  <si>
    <t>Cabbages and other brassicas</t>
  </si>
  <si>
    <t>Carrots and turnips</t>
  </si>
  <si>
    <t>Cauliflowers and broccoli</t>
  </si>
  <si>
    <t>Cherries</t>
  </si>
  <si>
    <t>Chick peas</t>
  </si>
  <si>
    <t>Lettuce and chicory</t>
  </si>
  <si>
    <t>Maize, green</t>
  </si>
  <si>
    <t>Mangoes, mangosteens, guavas</t>
  </si>
  <si>
    <t>Mushrooms and truffles</t>
  </si>
  <si>
    <t>Nuts nes</t>
  </si>
  <si>
    <t>Oats</t>
  </si>
  <si>
    <t>Olives</t>
  </si>
  <si>
    <t>Onions, dry</t>
  </si>
  <si>
    <t>Oranges</t>
  </si>
  <si>
    <t>Peaches and nectarines</t>
  </si>
  <si>
    <t>Pears</t>
  </si>
  <si>
    <t>Pineapples</t>
  </si>
  <si>
    <t>Potatoes</t>
  </si>
  <si>
    <t>Rapeseed</t>
  </si>
  <si>
    <t>Rice, paddy</t>
  </si>
  <si>
    <t>Strawberries</t>
  </si>
  <si>
    <t>Sugar cane</t>
  </si>
  <si>
    <t>Tangerines, mandarins, clementines, satsumas</t>
  </si>
  <si>
    <t>Tomatoes</t>
  </si>
  <si>
    <t>Wheat</t>
  </si>
  <si>
    <t>Number of ha considered by agricultural production</t>
  </si>
  <si>
    <t>ha</t>
  </si>
  <si>
    <t xml:space="preserve">11 Fish revenue </t>
  </si>
  <si>
    <t>Production value</t>
  </si>
  <si>
    <t>USD/kg</t>
  </si>
  <si>
    <t>AUD/kg</t>
  </si>
  <si>
    <t xml:space="preserve">Fish revenue - Lost market Access per day (%) </t>
  </si>
  <si>
    <t xml:space="preserve">12 Livestock revenue </t>
  </si>
  <si>
    <t>Number of Livestock</t>
  </si>
  <si>
    <t>Livestock production value</t>
  </si>
  <si>
    <t>Item</t>
  </si>
  <si>
    <t>Heads per year</t>
  </si>
  <si>
    <t>USD per year</t>
  </si>
  <si>
    <t>AUD per year</t>
  </si>
  <si>
    <t>Meat, goat</t>
  </si>
  <si>
    <t>Meat, pig</t>
  </si>
  <si>
    <t>Meat, sheep</t>
  </si>
  <si>
    <t>Damage due to dust inhalation and jarring - avoided damage in AUD/km</t>
  </si>
  <si>
    <t>Unsealed/formed road to sealed road</t>
  </si>
  <si>
    <t>Unsealed/formed road to gravel/paved road</t>
  </si>
  <si>
    <t>Paved road to sealed road</t>
  </si>
  <si>
    <t>AUD/km</t>
  </si>
  <si>
    <t>Number of animals</t>
  </si>
  <si>
    <t>13 Access to essential items/services</t>
  </si>
  <si>
    <t>Average cost of delivery specific item per person</t>
  </si>
  <si>
    <t>AUD/person</t>
  </si>
  <si>
    <t xml:space="preserve">14 Access to workplace and schools </t>
  </si>
  <si>
    <t>% of people who cannot go to work</t>
  </si>
  <si>
    <t>% of people who cannot go to school</t>
  </si>
  <si>
    <t>Daily average salary</t>
  </si>
  <si>
    <t>AUD/person/day</t>
  </si>
  <si>
    <t xml:space="preserve">15 Mental health </t>
  </si>
  <si>
    <t>Mental health-related services cost per person per annum</t>
  </si>
  <si>
    <t>AUD/person/year</t>
  </si>
  <si>
    <t>Km of extra travel</t>
  </si>
  <si>
    <t>Additional fuel consumption</t>
  </si>
  <si>
    <t>liter</t>
  </si>
  <si>
    <t>O&amp;M cost per vehicle</t>
  </si>
  <si>
    <t>% virgin materials used for O&amp;M of roads</t>
  </si>
  <si>
    <t>O&amp;M Cost of roads in one year</t>
  </si>
  <si>
    <t>Additional hours due to diversion</t>
  </si>
  <si>
    <t>hrs</t>
  </si>
  <si>
    <t xml:space="preserve">Estimated value of travel time </t>
  </si>
  <si>
    <t>Externality unit costs for passenger vehicles and buses  (cents per vehicle kilometres travelled (vkt))</t>
  </si>
  <si>
    <t xml:space="preserve">Air pollution: Estimated costs for passenger vehicles and buses </t>
  </si>
  <si>
    <t>cents per veh km travelled (vkt)</t>
  </si>
  <si>
    <t>Total costs for passengers</t>
  </si>
  <si>
    <t xml:space="preserve">Air pollution: Estimated costs for freight vehicles </t>
  </si>
  <si>
    <t>Total costs for freight vehicles</t>
  </si>
  <si>
    <t>Total</t>
  </si>
  <si>
    <t xml:space="preserve">Noise pollution: Estimated costs for passenger vehicles and buses </t>
  </si>
  <si>
    <t xml:space="preserve">Noise pollution: Estimated costs for freight vehicles </t>
  </si>
  <si>
    <t xml:space="preserve">Water pollution: Estimated costs for passenger vehicles and buses </t>
  </si>
  <si>
    <t xml:space="preserve">Water pollution: Estimated costs for freight vehicles </t>
  </si>
  <si>
    <t xml:space="preserve">Greenhouse emission: Estimated costs for passenger vehicles and buses </t>
  </si>
  <si>
    <t xml:space="preserve">Greenhouse emission: Estimated costs for freight vehicles </t>
  </si>
  <si>
    <t xml:space="preserve">Nature and Landscape damage: Estimated costs for passenger vehicles and buses </t>
  </si>
  <si>
    <t xml:space="preserve">Nature and Landscape damage: Estimated costs for freight vehicles </t>
  </si>
  <si>
    <t>Apples yield</t>
  </si>
  <si>
    <t>tonnes/ha</t>
  </si>
  <si>
    <t>Lost Productivity</t>
  </si>
  <si>
    <t>Applies producer price</t>
  </si>
  <si>
    <t>Select type from dropdown list:</t>
  </si>
  <si>
    <t>Cattle production</t>
  </si>
  <si>
    <t>Cattle production value</t>
  </si>
  <si>
    <t>Lost livestock market access</t>
  </si>
  <si>
    <t>Damage due to dust inhalation and jarring</t>
  </si>
  <si>
    <t>Number of person/days that cannot perform work</t>
  </si>
  <si>
    <t>person/day</t>
  </si>
  <si>
    <t>Mental health-related services cost per person per day</t>
  </si>
  <si>
    <t>Modelling period ending</t>
  </si>
  <si>
    <t>Column counter</t>
  </si>
  <si>
    <t>Constant</t>
  </si>
  <si>
    <t>Cost &amp; price base date</t>
  </si>
  <si>
    <t>Labelling suffix</t>
  </si>
  <si>
    <t>label</t>
  </si>
  <si>
    <t>Placing costs and benefits in time</t>
  </si>
  <si>
    <t>Betterment event occurrence flag</t>
  </si>
  <si>
    <t>flag</t>
  </si>
  <si>
    <t>Avoided road damage benefit</t>
  </si>
  <si>
    <t>Avoided road damage benefit per event</t>
  </si>
  <si>
    <t>Avoided road damage event occurrence flag</t>
  </si>
  <si>
    <t>Non-road benefits</t>
  </si>
  <si>
    <t>Net benefits excl. non-road benefits</t>
  </si>
  <si>
    <t>Net benefits incl. non-road benefits</t>
  </si>
  <si>
    <t>Benefits to Costs Ratio (BCR)</t>
  </si>
  <si>
    <t>BCR excl. non-road benefits</t>
  </si>
  <si>
    <t>ratio</t>
  </si>
  <si>
    <t>Total benefit over time incl. non-road benefits</t>
  </si>
  <si>
    <t>BCR incl. non-road benefits</t>
  </si>
  <si>
    <t>Internal Rate of Return (IRR)</t>
  </si>
  <si>
    <t>IRR excl. non-road benefits</t>
  </si>
  <si>
    <t>% p.a. real</t>
  </si>
  <si>
    <t>IRR incl. non-road benefits</t>
  </si>
  <si>
    <t>Net Present Value (NPV)</t>
  </si>
  <si>
    <t>Present Value (PV) discount factor</t>
  </si>
  <si>
    <t>Years from Present Value discount date</t>
  </si>
  <si>
    <t>Present Value of net benefits/(costs), aka NPV</t>
  </si>
  <si>
    <t>NPV excl. non-road benefits</t>
  </si>
  <si>
    <t>NPV incl. non-road benefits</t>
  </si>
  <si>
    <t>#</t>
  </si>
  <si>
    <t>Reference</t>
  </si>
  <si>
    <t>Cost Benefit Analysis (CBA) Manual, Transport and Main Roads, March 2021</t>
  </si>
  <si>
    <t>Transportation is a significant source of greenhouse gas (GHG) emissions, which are defined in the National Greenhouse Gas Inventory (NGGI) as emissions from the direct combustion of fuels in road transportation, railways, navigation, aviation and off-road recreational vehicle activity</t>
  </si>
  <si>
    <t>The prevailing source of artificial noise pollution in built-up areas is from transportation. In rural areas, train and aviation noise can disturb wildlife habitats. Trucks and exhaust braking is a significant contributor of noise pollution in rural towns.</t>
  </si>
  <si>
    <t>https://silo.tips/download/life-cycle-analysis-of-transport-modes</t>
  </si>
  <si>
    <t>https://www.iisd.org/system/files/publications/sustainable-asset-valuation-tool-roads.pdf   and data from SAVi Model</t>
  </si>
  <si>
    <t>https://www.inflationtool.com/indonesian-rupiah?amount=1&amp;year1=2020&amp;year2=2021&amp;frequency=yearly</t>
  </si>
  <si>
    <t>https://tradingeconomics.com/indonesia/gasoline-prices</t>
  </si>
  <si>
    <t>USD</t>
  </si>
  <si>
    <t>2023 prices</t>
  </si>
  <si>
    <t>Cabbages</t>
  </si>
  <si>
    <t>Cantaloupes and other melons</t>
  </si>
  <si>
    <t>Cashew nuts, in shell</t>
  </si>
  <si>
    <t>Cassava, fresh</t>
  </si>
  <si>
    <t>Cocoa beans</t>
  </si>
  <si>
    <t>Coffee, green</t>
  </si>
  <si>
    <t>Cucumbers and gherkins</t>
  </si>
  <si>
    <t>Eggplants (aubergines)</t>
  </si>
  <si>
    <t>Green garlic</t>
  </si>
  <si>
    <t>Groundnuts, excluding shelled</t>
  </si>
  <si>
    <t>Maize (corn)</t>
  </si>
  <si>
    <t>Mangoes, guavas and mangosteens</t>
  </si>
  <si>
    <t>Natural rubber in primary forms</t>
  </si>
  <si>
    <t>Nutmeg, mace, cardamoms, raw</t>
  </si>
  <si>
    <t>Oil palm fruit</t>
  </si>
  <si>
    <t>Onions and shallots, dry (excluding dehydrated)</t>
  </si>
  <si>
    <t>Other beans, green</t>
  </si>
  <si>
    <t>Papayas</t>
  </si>
  <si>
    <t>Pepper (Piper spp.), raw</t>
  </si>
  <si>
    <t>Rice</t>
  </si>
  <si>
    <t>Soya beans</t>
  </si>
  <si>
    <t>Spinach</t>
  </si>
  <si>
    <t>Sweet potatoes</t>
  </si>
  <si>
    <t>Watermelons</t>
  </si>
  <si>
    <t>Cities connected by the road</t>
  </si>
  <si>
    <t>People</t>
  </si>
  <si>
    <t>Vehicle ownership</t>
  </si>
  <si>
    <t>https://www.ceicdata.com/en/indicator/indonesia/number-of-registered-vehicles#:~:text=Indonesia%20Number%20of%20Registered%20Vehicles%20was%20reported%20at%2022%2C945%2C516%20Unit,21%2C950%2C954%20Unit%20for%20Dec%202021.</t>
  </si>
  <si>
    <t>Vehicles</t>
  </si>
  <si>
    <t>Total cars in Indonesia (Dec 2022)</t>
  </si>
  <si>
    <t>Population - Indonesia (2022)</t>
  </si>
  <si>
    <t>https://data.worldbank.org/country/indonesia</t>
  </si>
  <si>
    <t>Vehicle per capita - National</t>
  </si>
  <si>
    <t>Vehicles/People</t>
  </si>
  <si>
    <t>https://www.bps.go.id/en/statistics-table/2/MTQ5OCMy/harvested-area--productivity--and-production-of-paddy-by-province.html</t>
  </si>
  <si>
    <t>Tons/ha</t>
  </si>
  <si>
    <t>https://www.bps.go.id/en/statistics-table/2/MjIwNCMy/harvested-area--productivity--and-production-of-maize-by-province.html</t>
  </si>
  <si>
    <t>https://www.bps.go.id/en/statistics-table/2/NDY5IzI=/beef-cattle-population-by-province--heads-.html</t>
  </si>
  <si>
    <t>https://www.bps.go.id/en/statistics-table/2/NDc4IzI=/broiler-population-by-province--heads-.html</t>
  </si>
  <si>
    <t>Meat of cattle</t>
  </si>
  <si>
    <t>Meat of chickens</t>
  </si>
  <si>
    <t>Heads</t>
  </si>
  <si>
    <t>Time</t>
  </si>
  <si>
    <t>Extreme wet percentile</t>
  </si>
  <si>
    <t>Full projections SSP126</t>
  </si>
  <si>
    <t>Full projections SSP370</t>
  </si>
  <si>
    <t>SSP126</t>
  </si>
  <si>
    <t>SSP370</t>
  </si>
  <si>
    <t>Investment per ha - afforestation - seed dispersal</t>
  </si>
  <si>
    <t>USD/ha</t>
  </si>
  <si>
    <t>total ha</t>
  </si>
  <si>
    <t>SSP585</t>
  </si>
  <si>
    <t>Full projections SSP585</t>
  </si>
  <si>
    <t>https://www.focus-economics.com/country-indicator/indonesia/gdp-per-capita-usd/</t>
  </si>
  <si>
    <t>IDR</t>
  </si>
  <si>
    <t>Exchange rate USD to IDR</t>
  </si>
  <si>
    <t>IDR/USD</t>
  </si>
  <si>
    <t>Exchange rate IDR to AUD</t>
  </si>
  <si>
    <t>IDR/AUD</t>
  </si>
  <si>
    <t>Inflation (1 IDR in 2020 vs 1 IDR in 2023)</t>
  </si>
  <si>
    <t>Inflation (1 IDR in 2007 vs 1 IDR in 2023)</t>
  </si>
  <si>
    <t>IDR/tonnes</t>
  </si>
  <si>
    <t>IDR/veh.hr</t>
  </si>
  <si>
    <t>IDR cents per vkt</t>
  </si>
  <si>
    <t>IDR/tonne</t>
  </si>
  <si>
    <t>IDR/kg</t>
  </si>
  <si>
    <t>IDR per year</t>
  </si>
  <si>
    <t>IDR/km</t>
  </si>
  <si>
    <t>IDR/person</t>
  </si>
  <si>
    <t>IDR/person/day</t>
  </si>
  <si>
    <t>IDR/day</t>
  </si>
  <si>
    <t>Externality unit costs for freight vehicles (IDR per 1000 tonne-km)</t>
  </si>
  <si>
    <t>IDR per tonnes/km</t>
  </si>
  <si>
    <t>IDR cents per veh km travelled (vkt)</t>
  </si>
  <si>
    <t>IDR/animal</t>
  </si>
  <si>
    <t>IDR/event</t>
  </si>
  <si>
    <t>Tangible impacts only</t>
  </si>
  <si>
    <t xml:space="preserve">https://www.fao.org/faostat/en/#data
https://www.bps.go.id/en/statistics-table/2/NDY5IzI=/beef-cattle-population-by-province--heads-.html
https://www.bps.go.id/en/statistics-table/2/NDc4IzI=/broiler-population-by-province--heads-.html </t>
  </si>
  <si>
    <t>Number of extreme events</t>
  </si>
  <si>
    <t>Extreme events</t>
  </si>
  <si>
    <t>Climate scenario selection</t>
  </si>
  <si>
    <t>Assumed</t>
  </si>
  <si>
    <t>Non-road event occurrence</t>
  </si>
  <si>
    <t>Duration of non road-events</t>
  </si>
  <si>
    <t>events</t>
  </si>
  <si>
    <t>Cost per extreme event</t>
  </si>
  <si>
    <t>https://news.mongabay.com/2024/02/reforestation-of-indonesias-new-capital-city-stumped-by-haphazard-planting/</t>
  </si>
  <si>
    <t>Total value of time (IDR/veh.hr)</t>
  </si>
  <si>
    <t>Downside sensitivity (see below)</t>
  </si>
  <si>
    <t>Upside sensitivity (see below)</t>
  </si>
  <si>
    <t>Calculated</t>
  </si>
  <si>
    <t>Heads per year in Indonesia (from Statista)</t>
  </si>
  <si>
    <t>Chicken production</t>
  </si>
  <si>
    <t>Chicken production value</t>
  </si>
  <si>
    <t>Population</t>
  </si>
  <si>
    <t>Paddy yields West Kalimantan</t>
  </si>
  <si>
    <t>Maize yields West Kalimantan</t>
  </si>
  <si>
    <t>Meat of cattle in West Kalimantan</t>
  </si>
  <si>
    <t>Meat of chickens in West Kalimantan</t>
  </si>
  <si>
    <t>Population of West Kalimantan</t>
  </si>
  <si>
    <t>https://www.bps.go.id/en/statistics-table/3/V1ZSbFRUY3lTbFpEYTNsVWNGcDZjek53YkhsNFFUMDkjMw==/population--population-growth-rate--percentage-distribution-of-population--population-density--and-population-sex-ratio-by-province.html?year=2022</t>
  </si>
  <si>
    <t>Palm oil yields Indonesia</t>
  </si>
  <si>
    <t>https://www.fao.org/faostat/en/#data/QV</t>
  </si>
  <si>
    <t>Palm oil producer prices Indonesia</t>
  </si>
  <si>
    <t>USD/Tons</t>
  </si>
  <si>
    <t>https://www.fao.org/faostat/en/#data/PP</t>
  </si>
  <si>
    <t>% in the study area</t>
  </si>
  <si>
    <t>Calculations to assume the % of livestock in the study area</t>
  </si>
  <si>
    <t>This is an Excel application-level change, so you will only need to make this change once.</t>
  </si>
  <si>
    <t>PV discount rate - in uninflated (i.e., excluding inflation) terms</t>
  </si>
  <si>
    <t xml:space="preserve">occurrences </t>
  </si>
  <si>
    <t xml:space="preserve">Avoided road damage benefit based on past occurrences </t>
  </si>
  <si>
    <t xml:space="preserve">Number of past occurrences </t>
  </si>
  <si>
    <t>Number of past occurrences</t>
  </si>
  <si>
    <t>Duration of non-road events</t>
  </si>
  <si>
    <t>Material demand - periodic maintenance</t>
  </si>
  <si>
    <t>Maintenance cost - virgin material</t>
  </si>
  <si>
    <t>Maintenance cost - recycled</t>
  </si>
  <si>
    <t>Material demand - annual maintenance</t>
  </si>
  <si>
    <t>Number of years basis for preceding inputs</t>
  </si>
  <si>
    <t>IDR per 1,000 tonne-km</t>
  </si>
  <si>
    <t>litre/100 km</t>
  </si>
  <si>
    <t>IDR/litre</t>
  </si>
  <si>
    <t>AUD/litre</t>
  </si>
  <si>
    <t>AUD per 1,000 tonne-km</t>
  </si>
  <si>
    <t>Melons, other (inc. cantaloupes)</t>
  </si>
  <si>
    <t>Material demand - periodic maintenance in case of extra traffic</t>
  </si>
  <si>
    <t>IDR per 1,000 tonnes/km</t>
  </si>
  <si>
    <t>The emission of air pollutants from transportation mainly consists of exhaust emissions, but there are also impacts of fuel vapours and emissions that result from the contact between vehicles’ tires and the road surface. Emissions also vary by type of vehicle (truck, private car, engine size, and model) and fuel (diesel/petrol).</t>
  </si>
  <si>
    <t>Transport-related water pollution is defined as the contamination of waterbodies such as lakes, rivers, oceans, and groundwater, which can be harmful to local and even regional ecological values</t>
  </si>
  <si>
    <t xml:space="preserve">Transport projects commonly influence natural vegetation and landscape in some form. The development of land-based transportation has led to deforestation, habitat loss, loss of natural vegetation, reduction in the quality of landscape, land pollution, and reduction in visual amenity. </t>
  </si>
  <si>
    <t>Externality unit costs for freight vehicles (IDR per 1,000 tonne-km)</t>
  </si>
  <si>
    <t>https://www.aihw.gov.au/mental-health/overview/mental-health-services</t>
  </si>
  <si>
    <t xml:space="preserve">Developing and Piloting a Model for Estimating the Direct and Indirect </t>
  </si>
  <si>
    <t>Benefits of Nature-Based Solutions for Road Resilience in Indonesia</t>
  </si>
  <si>
    <t>To view the accompanying report to this model please visit:</t>
  </si>
  <si>
    <t>https://www.iisd.org/publications/report/indonesia-nature-based-solutions-road-resilience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</si>
</sst>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 #,##0.00_);_(* \(#,##0.00\);_(* &quot;-&quot;??_);_(@_)"/>
    <numFmt numFmtId="165" formatCode="0.000"/>
    <numFmt numFmtId="166" formatCode="_(* #,##0.0_);_(* \(#,##0.0\);_(* &quot;-&quot;?_);_(@_)"/>
    <numFmt numFmtId="167" formatCode="#,##0_);\(#,##0\);&quot;-  &quot;;&quot; &quot;@&quot; &quot;"/>
    <numFmt numFmtId="168" formatCode="0.00_)%_);\(0.00\)%_);&quot;-  &quot;;&quot; &quot;@&quot; &quot;"/>
    <numFmt numFmtId="169" formatCode="#,##0.0000_);\(#,##0.0000\);&quot;-  &quot;;&quot; &quot;@&quot; &quot;"/>
    <numFmt numFmtId="170" formatCode="dd\ mmm\ yyyy_);\(###0\);&quot;-  &quot;;&quot; &quot;@&quot; &quot;"/>
    <numFmt numFmtId="171" formatCode="dd\ mmm\ yy_);\(###0\);&quot;-  &quot;;&quot; &quot;@&quot; &quot;"/>
    <numFmt numFmtId="172" formatCode="###0_);\(###0\);&quot;-  &quot;;&quot; &quot;@&quot; &quot;"/>
    <numFmt numFmtId="173" formatCode="0_)%_);\(0\)%_);&quot;-  &quot;;&quot; &quot;@&quot; &quot;"/>
    <numFmt numFmtId="174" formatCode="###0.00_);\(###0.00\);&quot;-  &quot;;&quot; &quot;@&quot; &quot;"/>
    <numFmt numFmtId="175" formatCode="#,##0.00_);\(#,##0.00\);&quot;-  &quot;;&quot; &quot;@&quot; &quot;"/>
    <numFmt numFmtId="176" formatCode="#,##0.000_);\(#,##0.000\);&quot;-  &quot;;&quot; &quot;@&quot; &quot;"/>
    <numFmt numFmtId="177" formatCode="#,##0.0_);\(#,##0.0\);&quot;-  &quot;;&quot; &quot;@&quot; &quot;"/>
    <numFmt numFmtId="178" formatCode="0.0_)%_);\(0.0\)%_);&quot;-  &quot;;&quot; &quot;@&quot; &quot;"/>
    <numFmt numFmtId="179" formatCode="###0.0_);\(###0.0\);&quot;-  &quot;;&quot; &quot;@&quot; &quot;"/>
    <numFmt numFmtId="180" formatCode="###0.000_);\(###0.000\);&quot;-  &quot;;&quot; &quot;@&quot; &quot;"/>
    <numFmt numFmtId="181" formatCode="#,##0.0000000_);\(#,##0.0000000\);&quot;-  &quot;;&quot; &quot;@&quot; &quot;"/>
    <numFmt numFmtId="182" formatCode="_(* #,##0_);_(* \(#,##0\);_(* &quot;-&quot;??_);_(@_)"/>
  </numFmts>
  <fonts count="3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8"/>
      <name val="Calibri"/>
      <family val="2"/>
      <scheme val="minor"/>
    </font>
    <font>
      <u/>
      <sz val="11"/>
      <color theme="10"/>
      <name val="Calibri"/>
      <family val="2"/>
      <scheme val="minor"/>
    </font>
    <font>
      <sz val="11"/>
      <name val="Calibri"/>
      <family val="2"/>
      <scheme val="minor"/>
    </font>
    <font>
      <b/>
      <sz val="11"/>
      <color rgb="FFFF0000"/>
      <name val="Calibri"/>
      <family val="2"/>
      <scheme val="minor"/>
    </font>
    <font>
      <sz val="11"/>
      <color rgb="FF0000FF"/>
      <name val="Calibri"/>
      <family val="2"/>
      <scheme val="minor"/>
    </font>
    <font>
      <sz val="11"/>
      <color rgb="FF000000"/>
      <name val="Calibri"/>
      <family val="2"/>
      <scheme val="minor"/>
    </font>
    <font>
      <b/>
      <sz val="11"/>
      <color rgb="FF000000"/>
      <name val="Calibri"/>
      <family val="2"/>
      <scheme val="minor"/>
    </font>
    <font>
      <b/>
      <sz val="20"/>
      <name val="Arial"/>
      <family val="2"/>
    </font>
    <font>
      <u/>
      <sz val="11"/>
      <color rgb="FF000000"/>
      <name val="Calibri"/>
      <family val="2"/>
      <scheme val="minor"/>
    </font>
    <font>
      <b/>
      <i/>
      <sz val="11"/>
      <color rgb="FFFF0000"/>
      <name val="Calibri"/>
      <family val="2"/>
      <scheme val="minor"/>
    </font>
    <font>
      <i/>
      <sz val="11"/>
      <color rgb="FFFF0000"/>
      <name val="Calibri"/>
      <family val="2"/>
      <scheme val="minor"/>
    </font>
    <font>
      <u/>
      <sz val="11"/>
      <color theme="1"/>
      <name val="Calibri"/>
      <family val="2"/>
      <scheme val="minor"/>
    </font>
    <font>
      <i/>
      <sz val="11"/>
      <color rgb="FF000000"/>
      <name val="Calibri"/>
      <family val="2"/>
      <scheme val="minor"/>
    </font>
    <font>
      <sz val="10"/>
      <color rgb="FF000000"/>
      <name val="Arial"/>
      <family val="2"/>
    </font>
    <font>
      <b/>
      <sz val="10"/>
      <name val="Arial"/>
      <family val="2"/>
    </font>
    <font>
      <sz val="10"/>
      <name val="Arial"/>
      <family val="2"/>
    </font>
    <font>
      <b/>
      <i/>
      <sz val="11"/>
      <color rgb="FF000000"/>
      <name val="Calibri"/>
      <family val="2"/>
      <scheme val="minor"/>
    </font>
    <font>
      <sz val="10"/>
      <color theme="1"/>
      <name val="Arial"/>
      <family val="2"/>
    </font>
    <font>
      <sz val="10"/>
      <color rgb="FF0000FF"/>
      <name val="Arial"/>
      <family val="2"/>
    </font>
    <font>
      <sz val="10"/>
      <color rgb="FFFF0000"/>
      <name val="Arial"/>
      <family val="2"/>
    </font>
    <font>
      <b/>
      <sz val="10"/>
      <color theme="1"/>
      <name val="Arial"/>
      <family val="2"/>
    </font>
    <font>
      <i/>
      <u/>
      <sz val="11"/>
      <color rgb="FF000000"/>
      <name val="Calibri"/>
      <family val="2"/>
      <scheme val="minor"/>
    </font>
    <font>
      <u/>
      <sz val="11"/>
      <color rgb="FFFF0000"/>
      <name val="Calibri"/>
      <family val="2"/>
      <scheme val="minor"/>
    </font>
    <font>
      <i/>
      <u/>
      <sz val="11"/>
      <color rgb="FFFF0000"/>
      <name val="Calibri"/>
      <family val="2"/>
      <scheme val="minor"/>
    </font>
    <font>
      <i/>
      <sz val="11"/>
      <color theme="1"/>
      <name val="Calibri"/>
      <family val="2"/>
      <scheme val="minor"/>
    </font>
    <font>
      <u/>
      <sz val="10"/>
      <color theme="1"/>
      <name val="Arial"/>
      <family val="2"/>
    </font>
    <font>
      <u/>
      <sz val="10"/>
      <name val="Arial"/>
      <family val="2"/>
    </font>
    <font>
      <b/>
      <sz val="14"/>
      <name val="Arial"/>
      <family val="2"/>
    </font>
    <font>
      <i/>
      <sz val="10"/>
      <color theme="1"/>
      <name val="Arial"/>
      <family val="2"/>
    </font>
    <font>
      <b/>
      <sz val="14"/>
      <color theme="1"/>
      <name val="Calibri"/>
      <family val="2"/>
      <scheme val="minor"/>
    </font>
    <font>
      <sz val="11"/>
      <color rgb="FF0070C0"/>
      <name val="Calibri"/>
      <family val="2"/>
      <scheme val="minor"/>
    </font>
    <font>
      <b/>
      <sz val="11"/>
      <color rgb="FFC00000"/>
      <name val="Calibri"/>
      <family val="2"/>
      <scheme val="minor"/>
    </font>
    <font>
      <sz val="11"/>
      <color theme="1"/>
      <name val="Aptos"/>
      <family val="2"/>
    </font>
    <font>
      <b/>
      <sz val="15"/>
      <color rgb="FF002060"/>
      <name val="Arial"/>
      <family val="2"/>
    </font>
    <font>
      <b/>
      <sz val="15"/>
      <name val="Arial"/>
      <family val="2"/>
    </font>
  </fonts>
  <fills count="12">
    <fill>
      <patternFill patternType="none"/>
    </fill>
    <fill>
      <patternFill patternType="gray125"/>
    </fill>
    <fill>
      <patternFill patternType="solid">
        <fgColor rgb="FFCCFFFF"/>
        <bgColor indexed="64"/>
      </patternFill>
    </fill>
    <fill>
      <patternFill patternType="solid">
        <fgColor rgb="FFFFFF99"/>
        <bgColor indexed="64"/>
      </patternFill>
    </fill>
    <fill>
      <patternFill patternType="solid">
        <fgColor rgb="FFDDDDDD"/>
        <bgColor indexed="64"/>
      </patternFill>
    </fill>
    <fill>
      <patternFill patternType="solid">
        <fgColor indexed="41"/>
        <bgColor indexed="64"/>
      </patternFill>
    </fill>
    <fill>
      <patternFill patternType="solid">
        <fgColor indexed="13"/>
        <bgColor indexed="64"/>
      </patternFill>
    </fill>
    <fill>
      <patternFill patternType="solid">
        <fgColor rgb="FFFFFF00"/>
        <bgColor indexed="64"/>
      </patternFill>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theme="4" tint="0.39997558519241921"/>
        <bgColor indexed="64"/>
      </patternFill>
    </fill>
  </fills>
  <borders count="2">
    <border>
      <left/>
      <right/>
      <top/>
      <bottom/>
      <diagonal/>
    </border>
    <border>
      <left/>
      <right/>
      <top style="thin">
        <color rgb="FF808080"/>
      </top>
      <bottom style="thin">
        <color rgb="FF808080"/>
      </bottom>
      <diagonal/>
    </border>
  </borders>
  <cellStyleXfs count="9">
    <xf numFmtId="167" fontId="0" fillId="0" borderId="0" applyFont="0" applyFill="0" applyBorder="0" applyProtection="0">
      <alignment vertical="top"/>
    </xf>
    <xf numFmtId="168" fontId="1" fillId="0" borderId="0" applyFont="0" applyFill="0" applyBorder="0" applyProtection="0">
      <alignment vertical="top"/>
    </xf>
    <xf numFmtId="0" fontId="5" fillId="0" borderId="0" applyNumberFormat="0" applyFill="0" applyBorder="0" applyAlignment="0" applyProtection="0"/>
    <xf numFmtId="169" fontId="1" fillId="0" borderId="0" applyFont="0" applyFill="0" applyBorder="0" applyProtection="0">
      <alignment vertical="top"/>
    </xf>
    <xf numFmtId="170" fontId="1" fillId="0" borderId="0" applyFont="0" applyFill="0" applyBorder="0" applyProtection="0">
      <alignment vertical="top"/>
    </xf>
    <xf numFmtId="171" fontId="1" fillId="0" borderId="0" applyFont="0" applyFill="0" applyBorder="0" applyProtection="0">
      <alignment vertical="top"/>
    </xf>
    <xf numFmtId="172" fontId="1" fillId="0" borderId="0" applyFont="0" applyFill="0" applyBorder="0" applyProtection="0">
      <alignment vertical="top"/>
    </xf>
    <xf numFmtId="43" fontId="1" fillId="0" borderId="0" applyFont="0" applyFill="0" applyBorder="0" applyAlignment="0" applyProtection="0"/>
    <xf numFmtId="164" fontId="1" fillId="0" borderId="0" applyFont="0" applyFill="0" applyBorder="0" applyAlignment="0" applyProtection="0"/>
  </cellStyleXfs>
  <cellXfs count="398">
    <xf numFmtId="167" fontId="0" fillId="0" borderId="0" xfId="0">
      <alignment vertical="top"/>
    </xf>
    <xf numFmtId="167" fontId="3" fillId="0" borderId="0" xfId="0" applyFont="1">
      <alignment vertical="top"/>
    </xf>
    <xf numFmtId="167" fontId="0" fillId="0" borderId="0" xfId="0" applyAlignment="1">
      <alignment vertical="top" wrapText="1"/>
    </xf>
    <xf numFmtId="167" fontId="0" fillId="0" borderId="0" xfId="0" applyAlignment="1">
      <alignment horizontal="center" vertical="top"/>
    </xf>
    <xf numFmtId="167" fontId="0" fillId="0" borderId="0" xfId="0" applyFill="1">
      <alignment vertical="top"/>
    </xf>
    <xf numFmtId="167" fontId="0" fillId="2" borderId="0" xfId="0" applyFill="1">
      <alignment vertical="top"/>
    </xf>
    <xf numFmtId="173" fontId="0" fillId="0" borderId="0" xfId="1" applyNumberFormat="1" applyFont="1">
      <alignment vertical="top"/>
    </xf>
    <xf numFmtId="173" fontId="0" fillId="0" borderId="0" xfId="1" applyNumberFormat="1" applyFont="1" applyFill="1">
      <alignment vertical="top"/>
    </xf>
    <xf numFmtId="167" fontId="9" fillId="0" borderId="0" xfId="0" applyFont="1">
      <alignment vertical="top"/>
    </xf>
    <xf numFmtId="167" fontId="0" fillId="0" borderId="0" xfId="0" applyFont="1">
      <alignment vertical="top"/>
    </xf>
    <xf numFmtId="167" fontId="0" fillId="0" borderId="0" xfId="0" applyFont="1" applyFill="1">
      <alignment vertical="top"/>
    </xf>
    <xf numFmtId="168" fontId="9" fillId="3" borderId="0" xfId="1" applyFont="1" applyFill="1">
      <alignment vertical="top"/>
    </xf>
    <xf numFmtId="167" fontId="0" fillId="3" borderId="0" xfId="0" applyFont="1" applyFill="1">
      <alignment vertical="top"/>
    </xf>
    <xf numFmtId="173" fontId="9" fillId="3" borderId="0" xfId="1" applyNumberFormat="1" applyFont="1" applyFill="1">
      <alignment vertical="top"/>
    </xf>
    <xf numFmtId="175" fontId="9" fillId="3" borderId="0" xfId="0" applyNumberFormat="1" applyFont="1" applyFill="1">
      <alignment vertical="top"/>
    </xf>
    <xf numFmtId="167" fontId="3" fillId="0" borderId="0" xfId="0" applyFont="1" applyFill="1">
      <alignment vertical="top"/>
    </xf>
    <xf numFmtId="172" fontId="0" fillId="0" borderId="0" xfId="6" applyFont="1">
      <alignment vertical="top"/>
    </xf>
    <xf numFmtId="167" fontId="10" fillId="0" borderId="0" xfId="0" applyFont="1" applyFill="1" applyAlignment="1">
      <alignment horizontal="left" vertical="top" wrapText="1"/>
    </xf>
    <xf numFmtId="167" fontId="10" fillId="0" borderId="0" xfId="0" applyFont="1" applyFill="1" applyAlignment="1">
      <alignment horizontal="center" vertical="top" wrapText="1"/>
    </xf>
    <xf numFmtId="167" fontId="9" fillId="0" borderId="0" xfId="0" applyFont="1" applyFill="1">
      <alignment vertical="top"/>
    </xf>
    <xf numFmtId="175" fontId="8" fillId="0" borderId="0" xfId="0" applyNumberFormat="1" applyFont="1" applyFill="1" applyAlignment="1">
      <alignment horizontal="right" vertical="top"/>
    </xf>
    <xf numFmtId="167" fontId="10" fillId="0" borderId="0" xfId="0" applyFont="1" applyFill="1">
      <alignment vertical="top"/>
    </xf>
    <xf numFmtId="167" fontId="9" fillId="0" borderId="0" xfId="0" applyFont="1" applyFill="1" applyAlignment="1">
      <alignment vertical="top" wrapText="1"/>
    </xf>
    <xf numFmtId="167" fontId="10" fillId="0" borderId="0" xfId="0" applyFont="1" applyFill="1" applyAlignment="1">
      <alignment vertical="top" wrapText="1"/>
    </xf>
    <xf numFmtId="175" fontId="8" fillId="0" borderId="0" xfId="0" applyNumberFormat="1" applyFont="1" applyFill="1">
      <alignment vertical="top"/>
    </xf>
    <xf numFmtId="175" fontId="9" fillId="0" borderId="0" xfId="0" applyNumberFormat="1" applyFont="1" applyFill="1">
      <alignment vertical="top"/>
    </xf>
    <xf numFmtId="172" fontId="0" fillId="0" borderId="0" xfId="6" applyFont="1" applyFill="1">
      <alignment vertical="top"/>
    </xf>
    <xf numFmtId="174" fontId="10" fillId="0" borderId="0" xfId="6" applyNumberFormat="1" applyFont="1" applyFill="1" applyAlignment="1">
      <alignment vertical="top" wrapText="1"/>
    </xf>
    <xf numFmtId="172" fontId="10" fillId="0" borderId="0" xfId="6" applyFont="1" applyFill="1">
      <alignment vertical="top"/>
    </xf>
    <xf numFmtId="172" fontId="9" fillId="0" borderId="0" xfId="6" applyFont="1" applyFill="1">
      <alignment vertical="top"/>
    </xf>
    <xf numFmtId="175" fontId="2" fillId="0" borderId="0" xfId="0" applyNumberFormat="1" applyFont="1" applyFill="1">
      <alignment vertical="top"/>
    </xf>
    <xf numFmtId="167" fontId="3" fillId="0" borderId="0" xfId="0" applyFont="1" applyAlignment="1">
      <alignment vertical="top" wrapText="1"/>
    </xf>
    <xf numFmtId="43" fontId="11" fillId="0" borderId="0" xfId="7" applyFont="1" applyFill="1" applyAlignment="1">
      <alignment vertical="top"/>
    </xf>
    <xf numFmtId="171" fontId="3" fillId="0" borderId="0" xfId="5" applyFont="1" applyFill="1">
      <alignment vertical="top"/>
    </xf>
    <xf numFmtId="171" fontId="3" fillId="0" borderId="0" xfId="5" applyFont="1">
      <alignment vertical="top"/>
    </xf>
    <xf numFmtId="177" fontId="3" fillId="0" borderId="0" xfId="0" applyNumberFormat="1" applyFont="1" applyFill="1">
      <alignment vertical="top"/>
    </xf>
    <xf numFmtId="177" fontId="0" fillId="0" borderId="0" xfId="0" applyNumberFormat="1">
      <alignment vertical="top"/>
    </xf>
    <xf numFmtId="177" fontId="0" fillId="0" borderId="0" xfId="0" applyNumberFormat="1" applyFill="1">
      <alignment vertical="top"/>
    </xf>
    <xf numFmtId="167" fontId="8" fillId="0" borderId="0" xfId="0" applyFont="1" applyFill="1">
      <alignment vertical="top"/>
    </xf>
    <xf numFmtId="167" fontId="0" fillId="0" borderId="1" xfId="0" applyBorder="1">
      <alignment vertical="top"/>
    </xf>
    <xf numFmtId="167" fontId="0" fillId="0" borderId="1" xfId="0" applyFill="1" applyBorder="1">
      <alignment vertical="top"/>
    </xf>
    <xf numFmtId="167" fontId="10" fillId="0" borderId="0" xfId="0" applyFont="1">
      <alignment vertical="top"/>
    </xf>
    <xf numFmtId="167" fontId="12" fillId="0" borderId="0" xfId="0" applyFont="1">
      <alignment vertical="top"/>
    </xf>
    <xf numFmtId="175" fontId="9" fillId="0" borderId="0" xfId="0" applyNumberFormat="1" applyFont="1">
      <alignment vertical="top"/>
    </xf>
    <xf numFmtId="175" fontId="2" fillId="0" borderId="0" xfId="0" applyNumberFormat="1" applyFont="1">
      <alignment vertical="top"/>
    </xf>
    <xf numFmtId="175" fontId="3" fillId="0" borderId="0" xfId="0" applyNumberFormat="1" applyFont="1" applyFill="1">
      <alignment vertical="top"/>
    </xf>
    <xf numFmtId="175" fontId="0" fillId="0" borderId="0" xfId="0" applyNumberFormat="1" applyFont="1" applyFill="1">
      <alignment vertical="top"/>
    </xf>
    <xf numFmtId="175" fontId="0" fillId="0" borderId="0" xfId="0" applyNumberFormat="1" applyFont="1">
      <alignment vertical="top"/>
    </xf>
    <xf numFmtId="175" fontId="3" fillId="0" borderId="0" xfId="0" applyNumberFormat="1" applyFont="1">
      <alignment vertical="top"/>
    </xf>
    <xf numFmtId="175" fontId="3" fillId="0" borderId="0" xfId="0" applyNumberFormat="1" applyFont="1" applyBorder="1">
      <alignment vertical="top"/>
    </xf>
    <xf numFmtId="175" fontId="0" fillId="0" borderId="0" xfId="0" applyNumberFormat="1" applyFont="1" applyBorder="1">
      <alignment vertical="top"/>
    </xf>
    <xf numFmtId="175" fontId="8" fillId="0" borderId="0" xfId="0" applyNumberFormat="1" applyFont="1">
      <alignment vertical="top"/>
    </xf>
    <xf numFmtId="175" fontId="10" fillId="0" borderId="0" xfId="0" applyNumberFormat="1" applyFont="1" applyFill="1">
      <alignment vertical="top"/>
    </xf>
    <xf numFmtId="175" fontId="3" fillId="0" borderId="0" xfId="0" applyNumberFormat="1" applyFont="1" applyFill="1" applyBorder="1">
      <alignment vertical="top"/>
    </xf>
    <xf numFmtId="175" fontId="1" fillId="0" borderId="0" xfId="0" applyNumberFormat="1" applyFont="1" applyBorder="1">
      <alignment vertical="top"/>
    </xf>
    <xf numFmtId="168" fontId="0" fillId="0" borderId="0" xfId="1" applyFont="1">
      <alignment vertical="top"/>
    </xf>
    <xf numFmtId="173" fontId="3" fillId="0" borderId="0" xfId="1" applyNumberFormat="1" applyFont="1">
      <alignment vertical="top"/>
    </xf>
    <xf numFmtId="175" fontId="9" fillId="0" borderId="0" xfId="0" applyNumberFormat="1" applyFont="1" applyBorder="1">
      <alignment vertical="top"/>
    </xf>
    <xf numFmtId="175" fontId="10" fillId="0" borderId="0" xfId="0" applyNumberFormat="1" applyFont="1" applyBorder="1">
      <alignment vertical="top"/>
    </xf>
    <xf numFmtId="168" fontId="0" fillId="0" borderId="0" xfId="1" applyFont="1" applyFill="1">
      <alignment vertical="top"/>
    </xf>
    <xf numFmtId="172" fontId="0" fillId="0" borderId="0" xfId="6" applyFont="1" applyBorder="1">
      <alignment vertical="top"/>
    </xf>
    <xf numFmtId="173" fontId="9" fillId="0" borderId="0" xfId="1" applyNumberFormat="1" applyFont="1" applyFill="1">
      <alignment vertical="top"/>
    </xf>
    <xf numFmtId="175" fontId="10" fillId="0" borderId="0" xfId="0" applyNumberFormat="1" applyFont="1" applyFill="1" applyAlignment="1">
      <alignment horizontal="right" vertical="top"/>
    </xf>
    <xf numFmtId="177" fontId="15" fillId="0" borderId="0" xfId="0" applyNumberFormat="1" applyFont="1" applyFill="1" applyAlignment="1">
      <alignment horizontal="right" vertical="top"/>
    </xf>
    <xf numFmtId="178" fontId="0" fillId="0" borderId="0" xfId="1" applyNumberFormat="1" applyFont="1" applyFill="1">
      <alignment vertical="top"/>
    </xf>
    <xf numFmtId="172" fontId="3" fillId="0" borderId="0" xfId="6" applyFont="1">
      <alignment vertical="top"/>
    </xf>
    <xf numFmtId="172" fontId="8" fillId="0" borderId="0" xfId="6" applyFont="1">
      <alignment vertical="top"/>
    </xf>
    <xf numFmtId="177" fontId="3" fillId="0" borderId="0" xfId="0" applyNumberFormat="1" applyFont="1">
      <alignment vertical="top"/>
    </xf>
    <xf numFmtId="177" fontId="8" fillId="0" borderId="0" xfId="0" applyNumberFormat="1" applyFont="1">
      <alignment vertical="top"/>
    </xf>
    <xf numFmtId="177" fontId="0" fillId="0" borderId="0" xfId="0" applyNumberFormat="1" applyFont="1">
      <alignment vertical="top"/>
    </xf>
    <xf numFmtId="179" fontId="0" fillId="0" borderId="0" xfId="6" applyNumberFormat="1" applyFont="1">
      <alignment vertical="top"/>
    </xf>
    <xf numFmtId="177" fontId="9" fillId="3" borderId="0" xfId="0" applyNumberFormat="1" applyFont="1" applyFill="1">
      <alignment vertical="top"/>
    </xf>
    <xf numFmtId="177" fontId="9" fillId="0" borderId="0" xfId="0" applyNumberFormat="1" applyFont="1">
      <alignment vertical="top"/>
    </xf>
    <xf numFmtId="172" fontId="10" fillId="0" borderId="0" xfId="6" applyFont="1" applyFill="1" applyAlignment="1">
      <alignment horizontal="right" vertical="top"/>
    </xf>
    <xf numFmtId="167" fontId="10" fillId="0" borderId="0" xfId="0" applyFont="1" applyFill="1" applyAlignment="1">
      <alignment horizontal="right" vertical="top" wrapText="1"/>
    </xf>
    <xf numFmtId="172" fontId="16" fillId="0" borderId="0" xfId="6" applyFont="1" applyFill="1">
      <alignment vertical="top"/>
    </xf>
    <xf numFmtId="167" fontId="9" fillId="0" borderId="0" xfId="0" applyFont="1" applyFill="1" applyAlignment="1">
      <alignment horizontal="center" vertical="top" wrapText="1"/>
    </xf>
    <xf numFmtId="167" fontId="10" fillId="0" borderId="0" xfId="0" applyFont="1" applyFill="1" applyAlignment="1">
      <alignment horizontal="right" vertical="top"/>
    </xf>
    <xf numFmtId="172" fontId="15" fillId="0" borderId="0" xfId="6" quotePrefix="1" applyFont="1" applyFill="1" applyAlignment="1">
      <alignment horizontal="right" vertical="top"/>
    </xf>
    <xf numFmtId="172" fontId="12" fillId="0" borderId="0" xfId="6" applyFont="1" applyFill="1" applyAlignment="1">
      <alignment horizontal="right" vertical="top"/>
    </xf>
    <xf numFmtId="167" fontId="12" fillId="0" borderId="0" xfId="0" applyFont="1" applyFill="1" applyAlignment="1">
      <alignment horizontal="right" vertical="top" wrapText="1"/>
    </xf>
    <xf numFmtId="167" fontId="15" fillId="0" borderId="0" xfId="0" applyFont="1" applyFill="1" applyAlignment="1">
      <alignment horizontal="right" vertical="top"/>
    </xf>
    <xf numFmtId="167" fontId="3" fillId="0" borderId="0" xfId="0" applyFont="1" applyAlignment="1">
      <alignment horizontal="right" vertical="top" wrapText="1"/>
    </xf>
    <xf numFmtId="176" fontId="3" fillId="0" borderId="0" xfId="3" applyNumberFormat="1" applyFont="1">
      <alignment vertical="top"/>
    </xf>
    <xf numFmtId="176" fontId="0" fillId="0" borderId="0" xfId="3" applyNumberFormat="1" applyFont="1">
      <alignment vertical="top"/>
    </xf>
    <xf numFmtId="176" fontId="8" fillId="0" borderId="0" xfId="3" applyNumberFormat="1" applyFont="1">
      <alignment vertical="top"/>
    </xf>
    <xf numFmtId="177" fontId="9" fillId="0" borderId="0" xfId="0" applyNumberFormat="1" applyFont="1" applyFill="1">
      <alignment vertical="top"/>
    </xf>
    <xf numFmtId="167" fontId="8" fillId="0" borderId="0" xfId="0" applyFont="1" applyBorder="1">
      <alignment vertical="top"/>
    </xf>
    <xf numFmtId="167" fontId="8" fillId="0" borderId="0" xfId="0" applyFont="1" applyFill="1" applyBorder="1">
      <alignment vertical="top"/>
    </xf>
    <xf numFmtId="172" fontId="7" fillId="0" borderId="0" xfId="6" applyFont="1">
      <alignment vertical="top"/>
    </xf>
    <xf numFmtId="172" fontId="2" fillId="0" borderId="0" xfId="6" applyFont="1">
      <alignment vertical="top"/>
    </xf>
    <xf numFmtId="167" fontId="7" fillId="0" borderId="0" xfId="0" applyFont="1">
      <alignment vertical="top"/>
    </xf>
    <xf numFmtId="167" fontId="2" fillId="0" borderId="0" xfId="0" applyFont="1">
      <alignment vertical="top"/>
    </xf>
    <xf numFmtId="167" fontId="7" fillId="0" borderId="0" xfId="0" applyFont="1" applyBorder="1">
      <alignment vertical="top"/>
    </xf>
    <xf numFmtId="167" fontId="2" fillId="0" borderId="0" xfId="0" applyFont="1" applyBorder="1">
      <alignment vertical="top"/>
    </xf>
    <xf numFmtId="167" fontId="13" fillId="0" borderId="0" xfId="0" applyFont="1" applyBorder="1">
      <alignment vertical="top"/>
    </xf>
    <xf numFmtId="167" fontId="14" fillId="0" borderId="0" xfId="0" applyFont="1" applyBorder="1">
      <alignment vertical="top"/>
    </xf>
    <xf numFmtId="177" fontId="10" fillId="0" borderId="0" xfId="0" applyNumberFormat="1" applyFont="1" applyFill="1">
      <alignment vertical="top"/>
    </xf>
    <xf numFmtId="174" fontId="10" fillId="0" borderId="0" xfId="6" applyNumberFormat="1" applyFont="1" applyFill="1">
      <alignment vertical="top"/>
    </xf>
    <xf numFmtId="174" fontId="10" fillId="0" borderId="0" xfId="6" applyNumberFormat="1" applyFont="1">
      <alignment vertical="top"/>
    </xf>
    <xf numFmtId="174" fontId="9" fillId="0" borderId="0" xfId="6" applyNumberFormat="1" applyFont="1">
      <alignment vertical="top"/>
    </xf>
    <xf numFmtId="170" fontId="0" fillId="0" borderId="0" xfId="4" applyFont="1">
      <alignment vertical="top"/>
    </xf>
    <xf numFmtId="170" fontId="0" fillId="3" borderId="0" xfId="4" applyFont="1" applyFill="1">
      <alignment vertical="top"/>
    </xf>
    <xf numFmtId="178" fontId="1" fillId="0" borderId="0" xfId="1" applyNumberFormat="1" applyFont="1">
      <alignment vertical="top"/>
    </xf>
    <xf numFmtId="178" fontId="1" fillId="0" borderId="0" xfId="1" applyNumberFormat="1" applyFont="1" applyFill="1">
      <alignment vertical="top"/>
    </xf>
    <xf numFmtId="178" fontId="1" fillId="3" borderId="0" xfId="1" applyNumberFormat="1" applyFont="1" applyFill="1">
      <alignment vertical="top"/>
    </xf>
    <xf numFmtId="169" fontId="10" fillId="0" borderId="0" xfId="3" applyFont="1">
      <alignment vertical="top"/>
    </xf>
    <xf numFmtId="169" fontId="9" fillId="0" borderId="0" xfId="3" applyFont="1">
      <alignment vertical="top"/>
    </xf>
    <xf numFmtId="171" fontId="9" fillId="0" borderId="0" xfId="0" applyNumberFormat="1" applyFont="1" applyFill="1">
      <alignment vertical="top"/>
    </xf>
    <xf numFmtId="169" fontId="3" fillId="0" borderId="0" xfId="3" applyFont="1">
      <alignment vertical="top"/>
    </xf>
    <xf numFmtId="169" fontId="0" fillId="0" borderId="0" xfId="3" applyFont="1">
      <alignment vertical="top"/>
    </xf>
    <xf numFmtId="179" fontId="3" fillId="0" borderId="0" xfId="6" applyNumberFormat="1" applyFont="1">
      <alignment vertical="top"/>
    </xf>
    <xf numFmtId="176" fontId="0" fillId="0" borderId="0" xfId="0" applyNumberFormat="1" applyFill="1">
      <alignment vertical="top"/>
    </xf>
    <xf numFmtId="178" fontId="3" fillId="0" borderId="0" xfId="1" applyNumberFormat="1" applyFont="1">
      <alignment vertical="top"/>
    </xf>
    <xf numFmtId="178" fontId="0" fillId="0" borderId="0" xfId="1" applyNumberFormat="1" applyFont="1">
      <alignment vertical="top"/>
    </xf>
    <xf numFmtId="167" fontId="17" fillId="0" borderId="0" xfId="0" applyFont="1" applyFill="1" applyBorder="1">
      <alignment vertical="top"/>
    </xf>
    <xf numFmtId="167" fontId="18" fillId="0" borderId="0" xfId="0" applyFont="1" applyBorder="1">
      <alignment vertical="top"/>
    </xf>
    <xf numFmtId="167" fontId="19" fillId="0" borderId="0" xfId="0" applyFont="1" applyBorder="1">
      <alignment vertical="top"/>
    </xf>
    <xf numFmtId="167" fontId="18" fillId="0" borderId="0" xfId="0" applyFont="1">
      <alignment vertical="top"/>
    </xf>
    <xf numFmtId="167" fontId="19" fillId="0" borderId="0" xfId="0" applyFont="1">
      <alignment vertical="top"/>
    </xf>
    <xf numFmtId="167" fontId="19" fillId="3" borderId="0" xfId="0" applyFont="1" applyFill="1" applyBorder="1">
      <alignment vertical="top"/>
    </xf>
    <xf numFmtId="167" fontId="19" fillId="5" borderId="0" xfId="0" applyFont="1" applyFill="1" applyBorder="1">
      <alignment vertical="top"/>
    </xf>
    <xf numFmtId="167" fontId="19" fillId="0" borderId="0" xfId="0" applyFont="1" applyFill="1" applyBorder="1">
      <alignment vertical="top"/>
    </xf>
    <xf numFmtId="167" fontId="19" fillId="4" borderId="0" xfId="0" applyFont="1" applyFill="1" applyBorder="1">
      <alignment vertical="top"/>
    </xf>
    <xf numFmtId="167" fontId="18" fillId="0" borderId="0" xfId="0" applyFont="1" applyFill="1" applyBorder="1">
      <alignment vertical="top"/>
    </xf>
    <xf numFmtId="167" fontId="19" fillId="6" borderId="0" xfId="0" applyFont="1" applyFill="1" applyBorder="1">
      <alignment vertical="top"/>
    </xf>
    <xf numFmtId="174" fontId="0" fillId="0" borderId="0" xfId="6" applyNumberFormat="1" applyFont="1">
      <alignment vertical="top"/>
    </xf>
    <xf numFmtId="179" fontId="0" fillId="0" borderId="0" xfId="6" applyNumberFormat="1" applyFont="1" applyFill="1">
      <alignment vertical="top"/>
    </xf>
    <xf numFmtId="179" fontId="9" fillId="3" borderId="0" xfId="6" applyNumberFormat="1" applyFont="1" applyFill="1">
      <alignment vertical="top"/>
    </xf>
    <xf numFmtId="172" fontId="9" fillId="3" borderId="0" xfId="6" applyFont="1" applyFill="1">
      <alignment vertical="top"/>
    </xf>
    <xf numFmtId="180" fontId="3" fillId="0" borderId="0" xfId="6" applyNumberFormat="1" applyFont="1">
      <alignment vertical="top"/>
    </xf>
    <xf numFmtId="180" fontId="0" fillId="0" borderId="0" xfId="6" applyNumberFormat="1" applyFont="1">
      <alignment vertical="top"/>
    </xf>
    <xf numFmtId="180" fontId="0" fillId="0" borderId="0" xfId="6" applyNumberFormat="1" applyFont="1" applyFill="1">
      <alignment vertical="top"/>
    </xf>
    <xf numFmtId="180" fontId="9" fillId="3" borderId="0" xfId="6" applyNumberFormat="1" applyFont="1" applyFill="1">
      <alignment vertical="top"/>
    </xf>
    <xf numFmtId="180" fontId="9" fillId="0" borderId="0" xfId="6" applyNumberFormat="1" applyFont="1" applyFill="1">
      <alignment vertical="top"/>
    </xf>
    <xf numFmtId="180" fontId="10" fillId="0" borderId="0" xfId="6" applyNumberFormat="1" applyFont="1" applyFill="1">
      <alignment vertical="top"/>
    </xf>
    <xf numFmtId="180" fontId="12" fillId="0" borderId="0" xfId="6" applyNumberFormat="1" applyFont="1" applyFill="1">
      <alignment vertical="top"/>
    </xf>
    <xf numFmtId="174" fontId="0" fillId="3" borderId="0" xfId="6" applyNumberFormat="1" applyFont="1" applyFill="1">
      <alignment vertical="top"/>
    </xf>
    <xf numFmtId="174" fontId="2" fillId="0" borderId="0" xfId="6" applyNumberFormat="1" applyFont="1" applyFill="1">
      <alignment vertical="top"/>
    </xf>
    <xf numFmtId="2" fontId="0" fillId="3" borderId="0" xfId="0" applyNumberFormat="1" applyFill="1">
      <alignment vertical="top"/>
    </xf>
    <xf numFmtId="2" fontId="2" fillId="0" borderId="0" xfId="0" applyNumberFormat="1" applyFont="1">
      <alignment vertical="top"/>
    </xf>
    <xf numFmtId="2" fontId="0" fillId="0" borderId="0" xfId="0" applyNumberFormat="1">
      <alignment vertical="top"/>
    </xf>
    <xf numFmtId="172" fontId="20" fillId="0" borderId="0" xfId="6" applyFont="1" applyFill="1">
      <alignment vertical="top"/>
    </xf>
    <xf numFmtId="167" fontId="9" fillId="0" borderId="0" xfId="0" applyFont="1" applyFill="1" applyAlignment="1">
      <alignment horizontal="center" vertical="top"/>
    </xf>
    <xf numFmtId="164" fontId="9" fillId="3" borderId="0" xfId="0" applyNumberFormat="1" applyFont="1" applyFill="1" applyAlignment="1">
      <alignment horizontal="center" vertical="top"/>
    </xf>
    <xf numFmtId="167" fontId="9" fillId="3" borderId="0" xfId="0" applyFont="1" applyFill="1" applyAlignment="1">
      <alignment horizontal="right" vertical="top"/>
    </xf>
    <xf numFmtId="167" fontId="3" fillId="0" borderId="0" xfId="0" applyFont="1" applyFill="1" applyAlignment="1">
      <alignment horizontal="left" vertical="top"/>
    </xf>
    <xf numFmtId="167" fontId="0" fillId="0" borderId="0" xfId="0" applyAlignment="1">
      <alignment horizontal="left" vertical="top"/>
    </xf>
    <xf numFmtId="167" fontId="9" fillId="3" borderId="0" xfId="0" applyFont="1" applyFill="1">
      <alignment vertical="top"/>
    </xf>
    <xf numFmtId="176" fontId="3" fillId="0" borderId="0" xfId="0" applyNumberFormat="1" applyFont="1">
      <alignment vertical="top"/>
    </xf>
    <xf numFmtId="176" fontId="0" fillId="0" borderId="0" xfId="0" applyNumberFormat="1" applyFont="1">
      <alignment vertical="top"/>
    </xf>
    <xf numFmtId="176" fontId="0" fillId="3" borderId="0" xfId="0" applyNumberFormat="1" applyFont="1" applyFill="1">
      <alignment vertical="top"/>
    </xf>
    <xf numFmtId="165" fontId="0" fillId="0" borderId="0" xfId="0" applyNumberFormat="1">
      <alignment vertical="top"/>
    </xf>
    <xf numFmtId="165" fontId="2" fillId="0" borderId="0" xfId="0" applyNumberFormat="1" applyFont="1" applyFill="1">
      <alignment vertical="top"/>
    </xf>
    <xf numFmtId="167" fontId="12" fillId="0" borderId="0" xfId="0" applyFont="1" applyFill="1">
      <alignment vertical="top"/>
    </xf>
    <xf numFmtId="166" fontId="0" fillId="0" borderId="0" xfId="0" applyNumberFormat="1">
      <alignment vertical="top"/>
    </xf>
    <xf numFmtId="167" fontId="17" fillId="0" borderId="0" xfId="0" applyFont="1">
      <alignment vertical="top"/>
    </xf>
    <xf numFmtId="167" fontId="17" fillId="0" borderId="0" xfId="0" applyFont="1" applyBorder="1">
      <alignment vertical="top"/>
    </xf>
    <xf numFmtId="167" fontId="2" fillId="0" borderId="0" xfId="0" applyFont="1" applyFill="1">
      <alignment vertical="top"/>
    </xf>
    <xf numFmtId="167" fontId="21" fillId="0" borderId="0" xfId="0" applyFont="1" applyFill="1">
      <alignment vertical="top"/>
    </xf>
    <xf numFmtId="167" fontId="21" fillId="0" borderId="0" xfId="0" applyFont="1">
      <alignment vertical="top"/>
    </xf>
    <xf numFmtId="167" fontId="22" fillId="0" borderId="0" xfId="0" applyFont="1">
      <alignment vertical="top"/>
    </xf>
    <xf numFmtId="167" fontId="17" fillId="0" borderId="0" xfId="0" quotePrefix="1" applyFont="1">
      <alignment vertical="top"/>
    </xf>
    <xf numFmtId="167" fontId="23" fillId="0" borderId="0" xfId="0" quotePrefix="1" applyFont="1">
      <alignment vertical="top"/>
    </xf>
    <xf numFmtId="167" fontId="21" fillId="0" borderId="0" xfId="0" applyFont="1" applyBorder="1">
      <alignment vertical="top"/>
    </xf>
    <xf numFmtId="167" fontId="24" fillId="0" borderId="0" xfId="0" applyFont="1" applyBorder="1">
      <alignment vertical="top"/>
    </xf>
    <xf numFmtId="167" fontId="24" fillId="0" borderId="0" xfId="0" applyFont="1">
      <alignment vertical="top"/>
    </xf>
    <xf numFmtId="172" fontId="0" fillId="3" borderId="0" xfId="6" applyFont="1" applyFill="1">
      <alignment vertical="top"/>
    </xf>
    <xf numFmtId="175" fontId="0" fillId="3" borderId="0" xfId="0" applyNumberFormat="1" applyFont="1" applyFill="1">
      <alignment vertical="top"/>
    </xf>
    <xf numFmtId="167" fontId="9" fillId="2" borderId="0" xfId="0" applyFont="1" applyFill="1">
      <alignment vertical="top"/>
    </xf>
    <xf numFmtId="180" fontId="12" fillId="0" borderId="0" xfId="6" applyNumberFormat="1" applyFont="1" applyFill="1" applyAlignment="1">
      <alignment horizontal="right" vertical="top"/>
    </xf>
    <xf numFmtId="167" fontId="0" fillId="0" borderId="0" xfId="0" applyFont="1" applyFill="1" applyAlignment="1">
      <alignment horizontal="right" vertical="top"/>
    </xf>
    <xf numFmtId="167" fontId="15" fillId="0" borderId="0" xfId="0" applyFont="1" applyFill="1">
      <alignment vertical="top"/>
    </xf>
    <xf numFmtId="167" fontId="15" fillId="0" borderId="0" xfId="0" applyFont="1">
      <alignment vertical="top"/>
    </xf>
    <xf numFmtId="179" fontId="15" fillId="0" borderId="0" xfId="6" applyNumberFormat="1" applyFont="1">
      <alignment vertical="top"/>
    </xf>
    <xf numFmtId="175" fontId="15" fillId="0" borderId="0" xfId="0" applyNumberFormat="1" applyFont="1">
      <alignment vertical="top"/>
    </xf>
    <xf numFmtId="172" fontId="15" fillId="0" borderId="0" xfId="6" applyFont="1">
      <alignment vertical="top"/>
    </xf>
    <xf numFmtId="180" fontId="15" fillId="0" borderId="0" xfId="6" applyNumberFormat="1" applyFont="1">
      <alignment vertical="top"/>
    </xf>
    <xf numFmtId="167" fontId="12" fillId="0" borderId="0" xfId="0" applyFont="1" applyFill="1" applyAlignment="1">
      <alignment vertical="top" wrapText="1"/>
    </xf>
    <xf numFmtId="172" fontId="12" fillId="0" borderId="0" xfId="6" applyFont="1" applyFill="1">
      <alignment vertical="top"/>
    </xf>
    <xf numFmtId="175" fontId="12" fillId="0" borderId="0" xfId="0" applyNumberFormat="1" applyFont="1" applyFill="1">
      <alignment vertical="top"/>
    </xf>
    <xf numFmtId="172" fontId="25" fillId="0" borderId="0" xfId="6" applyFont="1" applyFill="1">
      <alignment vertical="top"/>
    </xf>
    <xf numFmtId="167" fontId="12" fillId="0" borderId="0" xfId="0" applyFont="1" applyFill="1" applyAlignment="1">
      <alignment horizontal="center" vertical="top" wrapText="1"/>
    </xf>
    <xf numFmtId="167" fontId="15" fillId="0" borderId="0" xfId="0" applyFont="1" applyAlignment="1">
      <alignment vertical="top" wrapText="1"/>
    </xf>
    <xf numFmtId="176" fontId="15" fillId="0" borderId="0" xfId="0" applyNumberFormat="1" applyFont="1">
      <alignment vertical="top"/>
    </xf>
    <xf numFmtId="175" fontId="15" fillId="0" borderId="0" xfId="0" applyNumberFormat="1" applyFont="1" applyBorder="1">
      <alignment vertical="top"/>
    </xf>
    <xf numFmtId="175" fontId="15" fillId="0" borderId="0" xfId="0" applyNumberFormat="1" applyFont="1" applyFill="1">
      <alignment vertical="top"/>
    </xf>
    <xf numFmtId="177" fontId="15" fillId="0" borderId="0" xfId="0" applyNumberFormat="1" applyFont="1">
      <alignment vertical="top"/>
    </xf>
    <xf numFmtId="172" fontId="26" fillId="0" borderId="0" xfId="6" applyFont="1">
      <alignment vertical="top"/>
    </xf>
    <xf numFmtId="173" fontId="15" fillId="0" borderId="0" xfId="1" applyNumberFormat="1" applyFont="1">
      <alignment vertical="top"/>
    </xf>
    <xf numFmtId="167" fontId="26" fillId="0" borderId="0" xfId="0" applyFont="1">
      <alignment vertical="top"/>
    </xf>
    <xf numFmtId="175" fontId="12" fillId="0" borderId="0" xfId="0" applyNumberFormat="1" applyFont="1" applyBorder="1">
      <alignment vertical="top"/>
    </xf>
    <xf numFmtId="175" fontId="15" fillId="0" borderId="0" xfId="0" applyNumberFormat="1" applyFont="1" applyFill="1" applyBorder="1">
      <alignment vertical="top"/>
    </xf>
    <xf numFmtId="167" fontId="26" fillId="0" borderId="0" xfId="0" applyFont="1" applyBorder="1">
      <alignment vertical="top"/>
    </xf>
    <xf numFmtId="177" fontId="12" fillId="0" borderId="0" xfId="0" applyNumberFormat="1" applyFont="1" applyFill="1">
      <alignment vertical="top"/>
    </xf>
    <xf numFmtId="176" fontId="15" fillId="0" borderId="0" xfId="3" applyNumberFormat="1" applyFont="1">
      <alignment vertical="top"/>
    </xf>
    <xf numFmtId="167" fontId="27" fillId="0" borderId="0" xfId="0" applyFont="1" applyBorder="1">
      <alignment vertical="top"/>
    </xf>
    <xf numFmtId="171" fontId="15" fillId="0" borderId="0" xfId="5" applyFont="1" applyFill="1">
      <alignment vertical="top"/>
    </xf>
    <xf numFmtId="177" fontId="15" fillId="0" borderId="0" xfId="0" applyNumberFormat="1" applyFont="1" applyFill="1">
      <alignment vertical="top"/>
    </xf>
    <xf numFmtId="174" fontId="12" fillId="0" borderId="0" xfId="6" applyNumberFormat="1" applyFont="1">
      <alignment vertical="top"/>
    </xf>
    <xf numFmtId="178" fontId="15" fillId="0" borderId="0" xfId="1" applyNumberFormat="1" applyFont="1">
      <alignment vertical="top"/>
    </xf>
    <xf numFmtId="169" fontId="12" fillId="0" borderId="0" xfId="3" applyFont="1">
      <alignment vertical="top"/>
    </xf>
    <xf numFmtId="169" fontId="15" fillId="0" borderId="0" xfId="3" applyFont="1">
      <alignment vertical="top"/>
    </xf>
    <xf numFmtId="178" fontId="9" fillId="0" borderId="1" xfId="1" applyNumberFormat="1" applyFont="1" applyFill="1" applyBorder="1">
      <alignment vertical="top"/>
    </xf>
    <xf numFmtId="167" fontId="2" fillId="0" borderId="0" xfId="0" applyFont="1" applyFill="1" applyBorder="1">
      <alignment vertical="top"/>
    </xf>
    <xf numFmtId="172" fontId="8" fillId="0" borderId="0" xfId="6" applyFont="1" applyFill="1">
      <alignment vertical="top"/>
    </xf>
    <xf numFmtId="176" fontId="0" fillId="0" borderId="0" xfId="3" applyNumberFormat="1" applyFont="1" applyFill="1">
      <alignment vertical="top"/>
    </xf>
    <xf numFmtId="167" fontId="24" fillId="0" borderId="0" xfId="0" applyFont="1" applyFill="1" applyBorder="1">
      <alignment vertical="top"/>
    </xf>
    <xf numFmtId="167" fontId="24" fillId="0" borderId="0" xfId="0" applyFont="1" applyFill="1">
      <alignment vertical="top"/>
    </xf>
    <xf numFmtId="175" fontId="9" fillId="0" borderId="0" xfId="0" applyNumberFormat="1" applyFont="1" applyFill="1" applyBorder="1">
      <alignment vertical="top"/>
    </xf>
    <xf numFmtId="167" fontId="9" fillId="0" borderId="1" xfId="0" applyFont="1" applyFill="1" applyBorder="1">
      <alignment vertical="top"/>
    </xf>
    <xf numFmtId="167" fontId="29" fillId="0" borderId="0" xfId="0" applyFont="1" applyFill="1">
      <alignment vertical="top"/>
    </xf>
    <xf numFmtId="167" fontId="30" fillId="0" borderId="0" xfId="0" applyFont="1">
      <alignment vertical="top"/>
    </xf>
    <xf numFmtId="167" fontId="30" fillId="0" borderId="0" xfId="0" applyFont="1" applyBorder="1">
      <alignment vertical="top"/>
    </xf>
    <xf numFmtId="167" fontId="30" fillId="0" borderId="0" xfId="0" applyFont="1" applyFill="1" applyBorder="1">
      <alignment vertical="top"/>
    </xf>
    <xf numFmtId="167" fontId="29" fillId="0" borderId="0" xfId="0" applyFont="1" applyFill="1" applyBorder="1">
      <alignment vertical="top"/>
    </xf>
    <xf numFmtId="167" fontId="29" fillId="0" borderId="0" xfId="0" applyFont="1" applyBorder="1">
      <alignment vertical="top"/>
    </xf>
    <xf numFmtId="167" fontId="29" fillId="0" borderId="0" xfId="0" applyFont="1">
      <alignment vertical="top"/>
    </xf>
    <xf numFmtId="167" fontId="10" fillId="0" borderId="0" xfId="0" applyFont="1" applyFill="1" applyAlignment="1">
      <alignment vertical="center"/>
    </xf>
    <xf numFmtId="167" fontId="0" fillId="0" borderId="0" xfId="0" applyFont="1" applyAlignment="1">
      <alignment horizontal="right" vertical="top"/>
    </xf>
    <xf numFmtId="177" fontId="8" fillId="0" borderId="0" xfId="0" applyNumberFormat="1" applyFont="1" applyFill="1">
      <alignment vertical="top"/>
    </xf>
    <xf numFmtId="167" fontId="15" fillId="0" borderId="0" xfId="0" applyFont="1" applyAlignment="1">
      <alignment horizontal="right" vertical="top"/>
    </xf>
    <xf numFmtId="167" fontId="10" fillId="0" borderId="1" xfId="0" applyFont="1" applyBorder="1">
      <alignment vertical="top"/>
    </xf>
    <xf numFmtId="167" fontId="10" fillId="0" borderId="1" xfId="0" applyFont="1" applyFill="1" applyBorder="1">
      <alignment vertical="top"/>
    </xf>
    <xf numFmtId="167" fontId="8" fillId="0" borderId="0" xfId="0" applyFont="1">
      <alignment vertical="top"/>
    </xf>
    <xf numFmtId="177" fontId="10" fillId="0" borderId="0" xfId="0" applyNumberFormat="1" applyFont="1">
      <alignment vertical="top"/>
    </xf>
    <xf numFmtId="177" fontId="12" fillId="0" borderId="0" xfId="0" applyNumberFormat="1" applyFont="1">
      <alignment vertical="top"/>
    </xf>
    <xf numFmtId="177" fontId="9" fillId="2" borderId="0" xfId="0" applyNumberFormat="1" applyFont="1" applyFill="1">
      <alignment vertical="top"/>
    </xf>
    <xf numFmtId="174" fontId="9" fillId="2" borderId="0" xfId="0" applyNumberFormat="1" applyFont="1" applyFill="1">
      <alignment vertical="top"/>
    </xf>
    <xf numFmtId="178" fontId="9" fillId="2" borderId="0" xfId="0" applyNumberFormat="1" applyFont="1" applyFill="1">
      <alignment vertical="top"/>
    </xf>
    <xf numFmtId="170" fontId="9" fillId="2" borderId="0" xfId="0" applyNumberFormat="1" applyFont="1" applyFill="1">
      <alignment vertical="top"/>
    </xf>
    <xf numFmtId="167" fontId="9" fillId="2" borderId="1" xfId="0" applyFont="1" applyFill="1" applyBorder="1">
      <alignment vertical="top"/>
    </xf>
    <xf numFmtId="174" fontId="9" fillId="0" borderId="0" xfId="0" applyNumberFormat="1" applyFont="1" applyFill="1">
      <alignment vertical="top"/>
    </xf>
    <xf numFmtId="178" fontId="9" fillId="0" borderId="0" xfId="0" applyNumberFormat="1" applyFont="1" applyFill="1">
      <alignment vertical="top"/>
    </xf>
    <xf numFmtId="170" fontId="9" fillId="0" borderId="0" xfId="0" applyNumberFormat="1" applyFont="1" applyFill="1">
      <alignment vertical="top"/>
    </xf>
    <xf numFmtId="167" fontId="6" fillId="0" borderId="0" xfId="0" applyFont="1">
      <alignment vertical="top"/>
    </xf>
    <xf numFmtId="167" fontId="6" fillId="0" borderId="0" xfId="0" applyFont="1" applyFill="1">
      <alignment vertical="top"/>
    </xf>
    <xf numFmtId="167" fontId="9" fillId="0" borderId="1" xfId="0" applyFont="1" applyBorder="1">
      <alignment vertical="top"/>
    </xf>
    <xf numFmtId="167" fontId="0" fillId="0" borderId="1" xfId="0" applyFont="1" applyBorder="1">
      <alignment vertical="top"/>
    </xf>
    <xf numFmtId="178" fontId="9" fillId="0" borderId="0" xfId="1" applyNumberFormat="1" applyFont="1" applyFill="1">
      <alignment vertical="top"/>
    </xf>
    <xf numFmtId="168" fontId="3" fillId="0" borderId="0" xfId="1" applyFont="1">
      <alignment vertical="top"/>
    </xf>
    <xf numFmtId="168" fontId="15" fillId="0" borderId="0" xfId="1" applyFont="1">
      <alignment vertical="top"/>
    </xf>
    <xf numFmtId="168" fontId="8" fillId="0" borderId="0" xfId="1" applyFont="1" applyFill="1">
      <alignment vertical="top"/>
    </xf>
    <xf numFmtId="168" fontId="9" fillId="0" borderId="0" xfId="1" applyFont="1" applyFill="1">
      <alignment vertical="top"/>
    </xf>
    <xf numFmtId="174" fontId="9" fillId="0" borderId="0" xfId="6" applyNumberFormat="1" applyFont="1" applyFill="1">
      <alignment vertical="top"/>
    </xf>
    <xf numFmtId="167" fontId="9" fillId="4" borderId="0" xfId="0" applyFont="1" applyFill="1">
      <alignment vertical="top"/>
    </xf>
    <xf numFmtId="172" fontId="9" fillId="0" borderId="0" xfId="6" applyFont="1" applyFill="1" applyAlignment="1">
      <alignment horizontal="right" vertical="top"/>
    </xf>
    <xf numFmtId="174" fontId="9" fillId="0" borderId="0" xfId="6" applyNumberFormat="1" applyFont="1" applyBorder="1">
      <alignment vertical="top"/>
    </xf>
    <xf numFmtId="174" fontId="10" fillId="0" borderId="0" xfId="6" applyNumberFormat="1" applyFont="1" applyBorder="1">
      <alignment vertical="top"/>
    </xf>
    <xf numFmtId="174" fontId="12" fillId="0" borderId="0" xfId="6" applyNumberFormat="1" applyFont="1" applyBorder="1">
      <alignment vertical="top"/>
    </xf>
    <xf numFmtId="174" fontId="0" fillId="0" borderId="0" xfId="6" applyNumberFormat="1" applyFont="1" applyBorder="1">
      <alignment vertical="top"/>
    </xf>
    <xf numFmtId="174" fontId="3" fillId="0" borderId="0" xfId="6" applyNumberFormat="1" applyFont="1" applyBorder="1">
      <alignment vertical="top"/>
    </xf>
    <xf numFmtId="174" fontId="15" fillId="0" borderId="0" xfId="6" applyNumberFormat="1" applyFont="1" applyBorder="1">
      <alignment vertical="top"/>
    </xf>
    <xf numFmtId="176" fontId="0" fillId="0" borderId="0" xfId="0" applyNumberFormat="1" applyFont="1" applyFill="1">
      <alignment vertical="top"/>
    </xf>
    <xf numFmtId="176" fontId="9" fillId="3" borderId="0" xfId="0" applyNumberFormat="1" applyFont="1" applyFill="1">
      <alignment vertical="top"/>
    </xf>
    <xf numFmtId="176" fontId="8" fillId="0" borderId="0" xfId="3" applyNumberFormat="1" applyFont="1" applyFill="1">
      <alignment vertical="top"/>
    </xf>
    <xf numFmtId="167" fontId="9" fillId="0" borderId="0" xfId="0" applyFont="1" applyBorder="1">
      <alignment vertical="top"/>
    </xf>
    <xf numFmtId="167" fontId="9" fillId="0" borderId="0" xfId="0" applyFont="1" applyFill="1" applyBorder="1">
      <alignment vertical="top"/>
    </xf>
    <xf numFmtId="167" fontId="9" fillId="0" borderId="0" xfId="0" applyFont="1" applyAlignment="1">
      <alignment horizontal="right" vertical="top"/>
    </xf>
    <xf numFmtId="168" fontId="10" fillId="0" borderId="0" xfId="1" applyFont="1">
      <alignment vertical="top"/>
    </xf>
    <xf numFmtId="168" fontId="12" fillId="0" borderId="0" xfId="1" applyFont="1">
      <alignment vertical="top"/>
    </xf>
    <xf numFmtId="168" fontId="9" fillId="0" borderId="0" xfId="1" applyFont="1">
      <alignment vertical="top"/>
    </xf>
    <xf numFmtId="172" fontId="10" fillId="4" borderId="0" xfId="6" applyFont="1" applyFill="1">
      <alignment vertical="top"/>
    </xf>
    <xf numFmtId="167" fontId="15" fillId="4" borderId="0" xfId="0" applyFont="1" applyFill="1" applyAlignment="1">
      <alignment horizontal="right" vertical="top"/>
    </xf>
    <xf numFmtId="167" fontId="15" fillId="0" borderId="0" xfId="0" applyFont="1" applyBorder="1">
      <alignment vertical="top"/>
    </xf>
    <xf numFmtId="167" fontId="1" fillId="0" borderId="0" xfId="0" quotePrefix="1" applyFont="1" applyFill="1">
      <alignment vertical="top"/>
    </xf>
    <xf numFmtId="167" fontId="9" fillId="0" borderId="0" xfId="0" applyFont="1" applyAlignment="1">
      <alignment horizontal="left" vertical="top"/>
    </xf>
    <xf numFmtId="167" fontId="0" fillId="4" borderId="0" xfId="0" applyFill="1">
      <alignment vertical="top"/>
    </xf>
    <xf numFmtId="175" fontId="10" fillId="4" borderId="0" xfId="0" applyNumberFormat="1" applyFont="1" applyFill="1">
      <alignment vertical="top"/>
    </xf>
    <xf numFmtId="179" fontId="0" fillId="4" borderId="0" xfId="6" applyNumberFormat="1" applyFont="1" applyFill="1">
      <alignment vertical="top"/>
    </xf>
    <xf numFmtId="172" fontId="0" fillId="4" borderId="0" xfId="6" applyFont="1" applyFill="1">
      <alignment vertical="top"/>
    </xf>
    <xf numFmtId="175" fontId="0" fillId="4" borderId="0" xfId="0" applyNumberFormat="1" applyFont="1" applyFill="1">
      <alignment vertical="top"/>
    </xf>
    <xf numFmtId="175" fontId="9" fillId="4" borderId="0" xfId="0" applyNumberFormat="1" applyFont="1" applyFill="1">
      <alignment vertical="top"/>
    </xf>
    <xf numFmtId="176" fontId="0" fillId="4" borderId="0" xfId="0" applyNumberFormat="1" applyFont="1" applyFill="1">
      <alignment vertical="top"/>
    </xf>
    <xf numFmtId="177" fontId="9" fillId="4" borderId="0" xfId="0" applyNumberFormat="1" applyFont="1" applyFill="1">
      <alignment vertical="top"/>
    </xf>
    <xf numFmtId="168" fontId="9" fillId="4" borderId="0" xfId="1" applyFont="1" applyFill="1">
      <alignment vertical="top"/>
    </xf>
    <xf numFmtId="168" fontId="0" fillId="4" borderId="0" xfId="1" applyFont="1" applyFill="1">
      <alignment vertical="top"/>
    </xf>
    <xf numFmtId="167" fontId="9" fillId="2" borderId="0" xfId="0" applyFont="1" applyFill="1" applyBorder="1">
      <alignment vertical="top"/>
    </xf>
    <xf numFmtId="167" fontId="15" fillId="2" borderId="0" xfId="0" applyFont="1" applyFill="1" applyAlignment="1">
      <alignment horizontal="right" vertical="top"/>
    </xf>
    <xf numFmtId="167" fontId="9" fillId="2" borderId="0" xfId="0" applyFont="1" applyFill="1" applyAlignment="1">
      <alignment horizontal="right" vertical="top"/>
    </xf>
    <xf numFmtId="168" fontId="9" fillId="2" borderId="0" xfId="1" applyFont="1" applyFill="1">
      <alignment vertical="top"/>
    </xf>
    <xf numFmtId="175" fontId="9" fillId="3" borderId="0" xfId="0" applyNumberFormat="1" applyFont="1" applyFill="1" applyAlignment="1">
      <alignment horizontal="right" vertical="top"/>
    </xf>
    <xf numFmtId="179" fontId="9" fillId="0" borderId="0" xfId="6" applyNumberFormat="1" applyFont="1" applyFill="1">
      <alignment vertical="top"/>
    </xf>
    <xf numFmtId="176" fontId="9" fillId="0" borderId="0" xfId="0" applyNumberFormat="1" applyFont="1" applyFill="1">
      <alignment vertical="top"/>
    </xf>
    <xf numFmtId="172" fontId="9" fillId="4" borderId="0" xfId="6" applyFont="1" applyFill="1">
      <alignment vertical="top"/>
    </xf>
    <xf numFmtId="172" fontId="9" fillId="3" borderId="0" xfId="6" applyFont="1" applyFill="1" applyAlignment="1">
      <alignment horizontal="center" vertical="top"/>
    </xf>
    <xf numFmtId="43" fontId="31" fillId="0" borderId="0" xfId="7" applyFont="1" applyFill="1" applyAlignment="1">
      <alignment vertical="top"/>
    </xf>
    <xf numFmtId="175" fontId="28" fillId="0" borderId="0" xfId="0" applyNumberFormat="1" applyFont="1" applyBorder="1">
      <alignment vertical="top"/>
    </xf>
    <xf numFmtId="175" fontId="28" fillId="0" borderId="0" xfId="0" applyNumberFormat="1" applyFont="1" applyFill="1">
      <alignment vertical="top"/>
    </xf>
    <xf numFmtId="173" fontId="8" fillId="0" borderId="0" xfId="1" applyNumberFormat="1" applyFont="1" applyFill="1">
      <alignment vertical="top"/>
    </xf>
    <xf numFmtId="173" fontId="3" fillId="0" borderId="0" xfId="1" applyNumberFormat="1" applyFont="1" applyFill="1">
      <alignment vertical="top"/>
    </xf>
    <xf numFmtId="173" fontId="15" fillId="0" borderId="0" xfId="1" applyNumberFormat="1" applyFont="1" applyFill="1">
      <alignment vertical="top"/>
    </xf>
    <xf numFmtId="167" fontId="15" fillId="0" borderId="0" xfId="0" applyFont="1" applyFill="1" applyBorder="1">
      <alignment vertical="top"/>
    </xf>
    <xf numFmtId="167" fontId="0" fillId="3" borderId="0" xfId="0" applyFont="1" applyFill="1" applyAlignment="1">
      <alignment horizontal="right" vertical="top"/>
    </xf>
    <xf numFmtId="179" fontId="10" fillId="0" borderId="0" xfId="6" applyNumberFormat="1" applyFont="1">
      <alignment vertical="top"/>
    </xf>
    <xf numFmtId="179" fontId="12" fillId="0" borderId="0" xfId="6" applyNumberFormat="1" applyFont="1">
      <alignment vertical="top"/>
    </xf>
    <xf numFmtId="179" fontId="9" fillId="4" borderId="0" xfId="6" applyNumberFormat="1" applyFont="1" applyFill="1">
      <alignment vertical="top"/>
    </xf>
    <xf numFmtId="179" fontId="9" fillId="0" borderId="0" xfId="6" applyNumberFormat="1" applyFont="1">
      <alignment vertical="top"/>
    </xf>
    <xf numFmtId="174" fontId="8" fillId="0" borderId="0" xfId="0" applyNumberFormat="1" applyFont="1">
      <alignment vertical="top"/>
    </xf>
    <xf numFmtId="175" fontId="9" fillId="0" borderId="0" xfId="0" applyNumberFormat="1" applyFont="1" applyFill="1" applyAlignment="1">
      <alignment vertical="top" wrapText="1"/>
    </xf>
    <xf numFmtId="175" fontId="9" fillId="4" borderId="0" xfId="0" applyNumberFormat="1" applyFont="1" applyFill="1" applyAlignment="1">
      <alignment horizontal="center" vertical="top" wrapText="1"/>
    </xf>
    <xf numFmtId="167" fontId="8" fillId="0" borderId="0" xfId="6" applyNumberFormat="1" applyFont="1" applyFill="1">
      <alignment vertical="top"/>
    </xf>
    <xf numFmtId="174" fontId="3" fillId="0" borderId="0" xfId="6" applyNumberFormat="1" applyFont="1">
      <alignment vertical="top"/>
    </xf>
    <xf numFmtId="172" fontId="3" fillId="0" borderId="0" xfId="6" applyFont="1" applyFill="1">
      <alignment vertical="top"/>
    </xf>
    <xf numFmtId="172" fontId="9" fillId="0" borderId="0" xfId="6" applyFont="1" applyBorder="1">
      <alignment vertical="top"/>
    </xf>
    <xf numFmtId="172" fontId="2" fillId="0" borderId="0" xfId="6" applyFont="1" applyBorder="1">
      <alignment vertical="top"/>
    </xf>
    <xf numFmtId="172" fontId="28" fillId="0" borderId="0" xfId="6" applyFont="1" applyBorder="1">
      <alignment vertical="top"/>
    </xf>
    <xf numFmtId="172" fontId="1" fillId="0" borderId="0" xfId="6" applyFont="1" applyBorder="1">
      <alignment vertical="top"/>
    </xf>
    <xf numFmtId="172" fontId="8" fillId="0" borderId="0" xfId="6" applyFont="1" applyBorder="1">
      <alignment vertical="top"/>
    </xf>
    <xf numFmtId="172" fontId="8" fillId="0" borderId="0" xfId="6" applyFont="1" applyFill="1" applyBorder="1">
      <alignment vertical="top"/>
    </xf>
    <xf numFmtId="172" fontId="10" fillId="0" borderId="1" xfId="6" applyFont="1" applyBorder="1">
      <alignment vertical="top"/>
    </xf>
    <xf numFmtId="172" fontId="6" fillId="0" borderId="0" xfId="6" applyFont="1">
      <alignment vertical="top"/>
    </xf>
    <xf numFmtId="172" fontId="0" fillId="0" borderId="1" xfId="6" applyFont="1" applyBorder="1">
      <alignment vertical="top"/>
    </xf>
    <xf numFmtId="172" fontId="6" fillId="0" borderId="0" xfId="6" applyFont="1" applyFill="1">
      <alignment vertical="top"/>
    </xf>
    <xf numFmtId="172" fontId="9" fillId="0" borderId="0" xfId="6" applyFont="1">
      <alignment vertical="top"/>
    </xf>
    <xf numFmtId="172" fontId="9" fillId="0" borderId="1" xfId="6" applyFont="1" applyBorder="1">
      <alignment vertical="top"/>
    </xf>
    <xf numFmtId="172" fontId="1" fillId="0" borderId="0" xfId="6" applyFont="1" applyFill="1">
      <alignment vertical="top"/>
    </xf>
    <xf numFmtId="172" fontId="16" fillId="0" borderId="0" xfId="6" applyFont="1" applyBorder="1">
      <alignment vertical="top"/>
    </xf>
    <xf numFmtId="172" fontId="9" fillId="0" borderId="0" xfId="6" applyFont="1" applyFill="1" applyBorder="1">
      <alignment vertical="top"/>
    </xf>
    <xf numFmtId="167" fontId="3" fillId="0" borderId="0" xfId="0" applyFont="1" applyFill="1" applyAlignment="1">
      <alignment horizontal="right" vertical="top"/>
    </xf>
    <xf numFmtId="175" fontId="10" fillId="0" borderId="0" xfId="0" applyNumberFormat="1" applyFont="1" applyFill="1" applyAlignment="1">
      <alignment vertical="top" wrapText="1"/>
    </xf>
    <xf numFmtId="0" fontId="9" fillId="0" borderId="0" xfId="6" applyNumberFormat="1" applyFont="1" applyFill="1" applyAlignment="1">
      <alignment vertical="top" wrapText="1"/>
    </xf>
    <xf numFmtId="167" fontId="32" fillId="0" borderId="0" xfId="0" applyFont="1">
      <alignment vertical="top"/>
    </xf>
    <xf numFmtId="167" fontId="32" fillId="0" borderId="0" xfId="0" quotePrefix="1" applyFont="1">
      <alignment vertical="top"/>
    </xf>
    <xf numFmtId="167" fontId="8" fillId="0" borderId="0" xfId="6" applyNumberFormat="1" applyFont="1">
      <alignment vertical="top"/>
    </xf>
    <xf numFmtId="175" fontId="10" fillId="0" borderId="0" xfId="0" applyNumberFormat="1" applyFont="1">
      <alignment vertical="top"/>
    </xf>
    <xf numFmtId="175" fontId="12" fillId="0" borderId="0" xfId="0" applyNumberFormat="1" applyFont="1">
      <alignment vertical="top"/>
    </xf>
    <xf numFmtId="175" fontId="0" fillId="0" borderId="0" xfId="0" applyNumberFormat="1" applyFill="1">
      <alignment vertical="top"/>
    </xf>
    <xf numFmtId="175" fontId="9" fillId="0" borderId="0" xfId="0" applyNumberFormat="1" applyFont="1" applyFill="1" applyAlignment="1">
      <alignment horizontal="right" vertical="top" wrapText="1"/>
    </xf>
    <xf numFmtId="175" fontId="9" fillId="3" borderId="0" xfId="0" applyNumberFormat="1" applyFont="1" applyFill="1" applyAlignment="1">
      <alignment horizontal="right" vertical="top" wrapText="1"/>
    </xf>
    <xf numFmtId="170" fontId="3" fillId="0" borderId="0" xfId="4" applyFont="1" applyFill="1">
      <alignment vertical="top"/>
    </xf>
    <xf numFmtId="170" fontId="15" fillId="0" borderId="0" xfId="4" applyFont="1" applyFill="1">
      <alignment vertical="top"/>
    </xf>
    <xf numFmtId="170" fontId="8" fillId="0" borderId="0" xfId="4" applyFont="1" applyFill="1">
      <alignment vertical="top"/>
    </xf>
    <xf numFmtId="170" fontId="0" fillId="0" borderId="0" xfId="4" applyFont="1" applyFill="1">
      <alignment vertical="top"/>
    </xf>
    <xf numFmtId="178" fontId="8" fillId="0" borderId="0" xfId="1" applyNumberFormat="1" applyFont="1" applyFill="1">
      <alignment vertical="top"/>
    </xf>
    <xf numFmtId="171" fontId="8" fillId="0" borderId="0" xfId="0" applyNumberFormat="1" applyFont="1" applyFill="1">
      <alignment vertical="top"/>
    </xf>
    <xf numFmtId="175" fontId="5" fillId="0" borderId="0" xfId="2" applyNumberFormat="1" applyFill="1" applyAlignment="1">
      <alignment vertical="top" wrapText="1"/>
    </xf>
    <xf numFmtId="167" fontId="0" fillId="0" borderId="0" xfId="0" applyFill="1" applyAlignment="1">
      <alignment horizontal="center" vertical="top"/>
    </xf>
    <xf numFmtId="167" fontId="0" fillId="4" borderId="0" xfId="0" applyFont="1" applyFill="1">
      <alignment vertical="top"/>
    </xf>
    <xf numFmtId="167" fontId="3" fillId="0" borderId="0" xfId="0" applyFont="1" applyAlignment="1">
      <alignment horizontal="right" vertical="center" wrapText="1"/>
    </xf>
    <xf numFmtId="181" fontId="9" fillId="0" borderId="0" xfId="0" applyNumberFormat="1" applyFont="1" applyFill="1">
      <alignment vertical="top"/>
    </xf>
    <xf numFmtId="164" fontId="2" fillId="0" borderId="0" xfId="8" applyFont="1" applyAlignment="1">
      <alignment vertical="top"/>
    </xf>
    <xf numFmtId="164" fontId="0" fillId="0" borderId="0" xfId="8" applyFont="1" applyAlignment="1">
      <alignment vertical="top"/>
    </xf>
    <xf numFmtId="164" fontId="2" fillId="0" borderId="0" xfId="8" applyFont="1" applyFill="1" applyAlignment="1">
      <alignment vertical="top"/>
    </xf>
    <xf numFmtId="164" fontId="9" fillId="0" borderId="0" xfId="8" applyFont="1" applyFill="1" applyAlignment="1">
      <alignment vertical="top"/>
    </xf>
    <xf numFmtId="164" fontId="9" fillId="0" borderId="0" xfId="8" applyFont="1" applyAlignment="1">
      <alignment vertical="top"/>
    </xf>
    <xf numFmtId="177" fontId="7" fillId="0" borderId="0" xfId="0" applyNumberFormat="1" applyFont="1">
      <alignment vertical="top"/>
    </xf>
    <xf numFmtId="167" fontId="0" fillId="0" borderId="0" xfId="0" applyAlignment="1"/>
    <xf numFmtId="167" fontId="0" fillId="0" borderId="0" xfId="0" applyFont="1" applyAlignment="1"/>
    <xf numFmtId="175" fontId="0" fillId="0" borderId="0" xfId="0" applyNumberFormat="1">
      <alignment vertical="top"/>
    </xf>
    <xf numFmtId="167" fontId="5" fillId="0" borderId="0" xfId="2" applyNumberFormat="1" applyAlignment="1">
      <alignment vertical="top"/>
    </xf>
    <xf numFmtId="14" fontId="0" fillId="0" borderId="0" xfId="0" applyNumberFormat="1" applyAlignment="1"/>
    <xf numFmtId="167" fontId="33" fillId="8" borderId="0" xfId="0" applyFont="1" applyFill="1" applyAlignment="1"/>
    <xf numFmtId="175" fontId="0" fillId="0" borderId="0" xfId="0" applyNumberFormat="1" applyAlignment="1"/>
    <xf numFmtId="175" fontId="0" fillId="7" borderId="0" xfId="0" applyNumberFormat="1" applyFill="1" applyAlignment="1"/>
    <xf numFmtId="167" fontId="33" fillId="9" borderId="0" xfId="0" applyFont="1" applyFill="1" applyAlignment="1"/>
    <xf numFmtId="175" fontId="0" fillId="0" borderId="0" xfId="0" applyNumberFormat="1" applyAlignment="1">
      <alignment horizontal="left" vertical="top" indent="1"/>
    </xf>
    <xf numFmtId="179" fontId="2" fillId="0" borderId="0" xfId="6" applyNumberFormat="1" applyFont="1">
      <alignment vertical="top"/>
    </xf>
    <xf numFmtId="167" fontId="5" fillId="0" borderId="0" xfId="2" applyNumberFormat="1" applyAlignment="1">
      <alignment vertical="top" wrapText="1"/>
    </xf>
    <xf numFmtId="176" fontId="2" fillId="3" borderId="0" xfId="0" applyNumberFormat="1" applyFont="1" applyFill="1">
      <alignment vertical="top"/>
    </xf>
    <xf numFmtId="1" fontId="3" fillId="0" borderId="0" xfId="0" applyNumberFormat="1" applyFont="1">
      <alignment vertical="top"/>
    </xf>
    <xf numFmtId="167" fontId="3" fillId="10" borderId="0" xfId="0" applyFont="1" applyFill="1">
      <alignment vertical="top"/>
    </xf>
    <xf numFmtId="167" fontId="34" fillId="0" borderId="0" xfId="0" applyFont="1" applyFill="1">
      <alignment vertical="top"/>
    </xf>
    <xf numFmtId="167" fontId="34" fillId="3" borderId="0" xfId="0" applyFont="1" applyFill="1">
      <alignment vertical="top"/>
    </xf>
    <xf numFmtId="167" fontId="3" fillId="0" borderId="0" xfId="0" applyFont="1" applyAlignment="1">
      <alignment horizontal="center" vertical="top"/>
    </xf>
    <xf numFmtId="167" fontId="3" fillId="0" borderId="0" xfId="0" applyFont="1" applyFill="1" applyAlignment="1">
      <alignment horizontal="center" vertical="top"/>
    </xf>
    <xf numFmtId="167" fontId="35" fillId="0" borderId="0" xfId="0" applyFont="1">
      <alignment vertical="top"/>
    </xf>
    <xf numFmtId="172" fontId="6" fillId="3" borderId="0" xfId="6" applyFont="1" applyFill="1">
      <alignment vertical="top"/>
    </xf>
    <xf numFmtId="175" fontId="6" fillId="3" borderId="0" xfId="0" applyNumberFormat="1" applyFont="1" applyFill="1">
      <alignment vertical="top"/>
    </xf>
    <xf numFmtId="179" fontId="6" fillId="0" borderId="0" xfId="6" applyNumberFormat="1" applyFont="1" applyFill="1">
      <alignment vertical="top"/>
    </xf>
    <xf numFmtId="179" fontId="6" fillId="3" borderId="0" xfId="6" applyNumberFormat="1" applyFont="1" applyFill="1">
      <alignment vertical="top"/>
    </xf>
    <xf numFmtId="167" fontId="6" fillId="3" borderId="0" xfId="0" applyFont="1" applyFill="1" applyAlignment="1">
      <alignment horizontal="right" vertical="top"/>
    </xf>
    <xf numFmtId="168" fontId="6" fillId="3" borderId="0" xfId="1" applyFont="1" applyFill="1">
      <alignment vertical="top"/>
    </xf>
    <xf numFmtId="175" fontId="6" fillId="0" borderId="0" xfId="0" applyNumberFormat="1" applyFont="1" applyFill="1">
      <alignment vertical="top"/>
    </xf>
    <xf numFmtId="167" fontId="6" fillId="0" borderId="1" xfId="0" applyFont="1" applyBorder="1">
      <alignment vertical="top"/>
    </xf>
    <xf numFmtId="182" fontId="2" fillId="0" borderId="0" xfId="8" applyNumberFormat="1" applyFont="1" applyAlignment="1">
      <alignment vertical="top"/>
    </xf>
    <xf numFmtId="182" fontId="2" fillId="0" borderId="0" xfId="8" applyNumberFormat="1" applyFont="1" applyFill="1" applyAlignment="1">
      <alignment vertical="top"/>
    </xf>
    <xf numFmtId="167" fontId="6" fillId="2" borderId="0" xfId="0" applyFont="1" applyFill="1" applyBorder="1">
      <alignment vertical="top"/>
    </xf>
    <xf numFmtId="164" fontId="34" fillId="0" borderId="0" xfId="0" applyNumberFormat="1" applyFont="1" applyFill="1" applyAlignment="1">
      <alignment horizontal="center" vertical="top"/>
    </xf>
    <xf numFmtId="177" fontId="34" fillId="0" borderId="0" xfId="0" applyNumberFormat="1" applyFont="1" applyFill="1">
      <alignment vertical="top"/>
    </xf>
    <xf numFmtId="164" fontId="34" fillId="0" borderId="0" xfId="8" applyFont="1" applyFill="1" applyAlignment="1">
      <alignment vertical="top"/>
    </xf>
    <xf numFmtId="175" fontId="34" fillId="0" borderId="0" xfId="0" applyNumberFormat="1" applyFont="1" applyFill="1">
      <alignment vertical="top"/>
    </xf>
    <xf numFmtId="167" fontId="0" fillId="0" borderId="0" xfId="0" applyAlignment="1">
      <alignment horizontal="left" vertical="top" wrapText="1"/>
    </xf>
    <xf numFmtId="167" fontId="3" fillId="0" borderId="0" xfId="0" applyFont="1" applyAlignment="1">
      <alignment horizontal="left" vertical="top" wrapText="1"/>
    </xf>
    <xf numFmtId="182" fontId="8" fillId="0" borderId="0" xfId="8" applyNumberFormat="1" applyFont="1" applyFill="1" applyAlignment="1">
      <alignment vertical="top"/>
    </xf>
    <xf numFmtId="165" fontId="2" fillId="0" borderId="0" xfId="0" applyNumberFormat="1" applyFont="1">
      <alignment vertical="top"/>
    </xf>
    <xf numFmtId="167" fontId="2" fillId="11" borderId="0" xfId="0" applyFont="1" applyFill="1">
      <alignment vertical="top"/>
    </xf>
    <xf numFmtId="176" fontId="2" fillId="11" borderId="0" xfId="0" applyNumberFormat="1" applyFont="1" applyFill="1">
      <alignment vertical="top"/>
    </xf>
    <xf numFmtId="167" fontId="2" fillId="0" borderId="0" xfId="0" applyFont="1" applyAlignment="1">
      <alignment horizontal="left" vertical="top" wrapText="1" indent="1"/>
    </xf>
    <xf numFmtId="167" fontId="2" fillId="0" borderId="0" xfId="0" applyFont="1" applyAlignment="1">
      <alignment horizontal="left" vertical="top" wrapText="1"/>
    </xf>
    <xf numFmtId="182" fontId="2" fillId="11" borderId="0" xfId="8" applyNumberFormat="1" applyFont="1" applyFill="1" applyAlignment="1">
      <alignment vertical="top"/>
    </xf>
    <xf numFmtId="167" fontId="0" fillId="11" borderId="0" xfId="0" applyFont="1" applyFill="1">
      <alignment vertical="top"/>
    </xf>
    <xf numFmtId="175" fontId="2" fillId="11" borderId="0" xfId="0" applyNumberFormat="1" applyFont="1" applyFill="1">
      <alignment vertical="top"/>
    </xf>
    <xf numFmtId="182" fontId="1" fillId="3" borderId="0" xfId="8" applyNumberFormat="1" applyFont="1" applyFill="1" applyAlignment="1">
      <alignment vertical="top"/>
    </xf>
    <xf numFmtId="175" fontId="5" fillId="0" borderId="0" xfId="2" applyNumberFormat="1" applyAlignment="1">
      <alignment vertical="top" wrapText="1"/>
    </xf>
    <xf numFmtId="167" fontId="36" fillId="0" borderId="0" xfId="0" applyFont="1" applyAlignment="1">
      <alignment vertical="center"/>
    </xf>
    <xf numFmtId="167" fontId="37" fillId="0" borderId="0" xfId="0" applyFont="1">
      <alignment vertical="top"/>
    </xf>
    <xf numFmtId="43" fontId="38" fillId="0" borderId="0" xfId="7" applyFont="1" applyFill="1" applyAlignment="1">
      <alignment vertical="top"/>
    </xf>
  </cellXfs>
  <cellStyles count="9">
    <cellStyle name="Comma" xfId="8" builtinId="3"/>
    <cellStyle name="Comma 2" xfId="7" xr:uid="{AF3226D7-43EA-40BA-9622-4E7DE3464C3A}"/>
    <cellStyle name="DateLong" xfId="4" xr:uid="{B8250B3D-B8CD-472B-B5E1-BEE016EA31EC}"/>
    <cellStyle name="DateShort" xfId="5" xr:uid="{4C90380D-2D70-4227-8FD4-414607C29176}"/>
    <cellStyle name="Factor" xfId="3" xr:uid="{16C7B1B8-97BF-4590-8DFA-C251641F9BC0}"/>
    <cellStyle name="Hyperlink" xfId="2" builtinId="8"/>
    <cellStyle name="Normal" xfId="0" builtinId="0" customBuiltin="1"/>
    <cellStyle name="Percent" xfId="1" builtinId="5" customBuiltin="1"/>
    <cellStyle name="Year" xfId="6" xr:uid="{E583266C-0A4B-43DC-9E86-D124D3CA4133}"/>
  </cellStyles>
  <dxfs count="0"/>
  <tableStyles count="0" defaultTableStyle="TableStyleMedium2" defaultPivotStyle="PivotStyleLight16"/>
  <colors>
    <mruColors>
      <color rgb="FFFFFF99"/>
      <color rgb="FFCCFF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45719</xdr:colOff>
      <xdr:row>36</xdr:row>
      <xdr:rowOff>71325</xdr:rowOff>
    </xdr:from>
    <xdr:to>
      <xdr:col>4</xdr:col>
      <xdr:colOff>1052830</xdr:colOff>
      <xdr:row>51</xdr:row>
      <xdr:rowOff>78760</xdr:rowOff>
    </xdr:to>
    <xdr:pic>
      <xdr:nvPicPr>
        <xdr:cNvPr id="2" name="Picture 1">
          <a:extLst>
            <a:ext uri="{FF2B5EF4-FFF2-40B4-BE49-F238E27FC236}">
              <a16:creationId xmlns:a16="http://schemas.microsoft.com/office/drawing/2014/main" id="{7DF841CC-ABC7-5FC9-B42F-C8065D51F3A2}"/>
            </a:ext>
          </a:extLst>
        </xdr:cNvPr>
        <xdr:cNvPicPr>
          <a:picLocks noChangeAspect="1"/>
        </xdr:cNvPicPr>
      </xdr:nvPicPr>
      <xdr:blipFill>
        <a:blip xmlns:r="http://schemas.openxmlformats.org/officeDocument/2006/relationships" r:embed="rId1"/>
        <a:stretch>
          <a:fillRect/>
        </a:stretch>
      </xdr:blipFill>
      <xdr:spPr>
        <a:xfrm>
          <a:off x="289559" y="5077665"/>
          <a:ext cx="4122421" cy="2522035"/>
        </a:xfrm>
        <a:prstGeom prst="rect">
          <a:avLst/>
        </a:prstGeom>
      </xdr:spPr>
    </xdr:pic>
    <xdr:clientData/>
  </xdr:twoCellAnchor>
  <xdr:twoCellAnchor editAs="oneCell">
    <xdr:from>
      <xdr:col>2</xdr:col>
      <xdr:colOff>9525</xdr:colOff>
      <xdr:row>0</xdr:row>
      <xdr:rowOff>323851</xdr:rowOff>
    </xdr:from>
    <xdr:to>
      <xdr:col>3</xdr:col>
      <xdr:colOff>1611404</xdr:colOff>
      <xdr:row>0</xdr:row>
      <xdr:rowOff>1057275</xdr:rowOff>
    </xdr:to>
    <xdr:pic>
      <xdr:nvPicPr>
        <xdr:cNvPr id="3" name="Picture 2">
          <a:extLst>
            <a:ext uri="{FF2B5EF4-FFF2-40B4-BE49-F238E27FC236}">
              <a16:creationId xmlns:a16="http://schemas.microsoft.com/office/drawing/2014/main" id="{3D5C567A-04EE-39BC-6F74-C3479A9ECD2E}"/>
            </a:ext>
          </a:extLst>
        </xdr:cNvPr>
        <xdr:cNvPicPr>
          <a:picLocks noChangeAspect="1"/>
        </xdr:cNvPicPr>
      </xdr:nvPicPr>
      <xdr:blipFill>
        <a:blip xmlns:r="http://schemas.openxmlformats.org/officeDocument/2006/relationships" r:embed="rId2"/>
        <a:stretch>
          <a:fillRect/>
        </a:stretch>
      </xdr:blipFill>
      <xdr:spPr>
        <a:xfrm>
          <a:off x="257175" y="323851"/>
          <a:ext cx="1725704" cy="73342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32" dT="2025-01-20T21:50:12.97" personId="{00000000-0000-0000-0000-000000000000}" id="{A4D47973-3050-4183-9BCA-CFD62274B39D}">
    <text>What does “nes” mean here?</text>
  </threadedComment>
  <threadedComment ref="D144" dT="2025-01-20T21:50:48.08" personId="{00000000-0000-0000-0000-000000000000}" id="{FE95D89F-44EC-4926-9FDB-062B1BAF3933}">
    <text>What does “nes” mean here?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isd.org/publications/report/indonesia-nature-based-solutions-road-resilienc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hyperlink" Target="https://silo.tips/download/life-cycle-analysis-of-transport-modes" TargetMode="External"/><Relationship Id="rId2" Type="http://schemas.openxmlformats.org/officeDocument/2006/relationships/hyperlink" Target="https://www.fao.org/faostat/en/" TargetMode="External"/><Relationship Id="rId1" Type="http://schemas.openxmlformats.org/officeDocument/2006/relationships/hyperlink" Target="https://www.iisd.org/system/files/publications/sustainable-asset-valuation-tool-roads.pdf%20%20%20and%20data%20from%20SAVi%20Model"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7C8E6-A45B-4CAB-AFFD-3FB66AAA0C44}">
  <sheetPr>
    <tabColor rgb="FFFF0000"/>
    <pageSetUpPr fitToPage="1"/>
  </sheetPr>
  <dimension ref="A1:F59"/>
  <sheetViews>
    <sheetView showGridLines="0" tabSelected="1" zoomScaleNormal="100" workbookViewId="0">
      <pane ySplit="8" topLeftCell="A9" activePane="bottomLeft" state="frozen"/>
      <selection activeCell="F40" sqref="F40"/>
      <selection pane="bottomLeft" activeCell="L17" sqref="L17"/>
    </sheetView>
  </sheetViews>
  <sheetFormatPr defaultColWidth="8.88671875" defaultRowHeight="13.2" x14ac:dyDescent="0.3"/>
  <cols>
    <col min="1" max="1" width="1.88671875" style="160" customWidth="1"/>
    <col min="2" max="2" width="1.88671875" style="166" customWidth="1"/>
    <col min="3" max="3" width="1.88671875" style="217" customWidth="1"/>
    <col min="4" max="4" width="45.5546875" style="156" customWidth="1"/>
    <col min="5" max="5" width="19.5546875" style="160" bestFit="1" customWidth="1"/>
    <col min="6" max="6" width="1.88671875" style="160" customWidth="1"/>
    <col min="7" max="16384" width="8.88671875" style="160"/>
  </cols>
  <sheetData>
    <row r="1" spans="1:6" ht="114" customHeight="1" x14ac:dyDescent="0.3"/>
    <row r="2" spans="1:6" ht="19.2" x14ac:dyDescent="0.3">
      <c r="B2" s="396" t="s">
        <v>467</v>
      </c>
    </row>
    <row r="3" spans="1:6" ht="33" customHeight="1" x14ac:dyDescent="0.3">
      <c r="B3" s="396" t="s">
        <v>468</v>
      </c>
    </row>
    <row r="4" spans="1:6" x14ac:dyDescent="0.3">
      <c r="B4" s="166" t="s">
        <v>469</v>
      </c>
    </row>
    <row r="5" spans="1:6" ht="14.4" x14ac:dyDescent="0.3">
      <c r="B5" s="350" t="s">
        <v>470</v>
      </c>
    </row>
    <row r="8" spans="1:6" customFormat="1" ht="24.75" customHeight="1" x14ac:dyDescent="0.3">
      <c r="A8" s="397" t="str">
        <f ca="1" xml:space="preserve"> RIGHT(CELL("filename", A8), LEN(CELL("filename", A8)) - SEARCH("]", CELL("filename", A8)))</f>
        <v>Guide</v>
      </c>
      <c r="B8" s="15"/>
      <c r="C8" s="172"/>
      <c r="E8" s="21"/>
      <c r="F8" s="4"/>
    </row>
    <row r="10" spans="1:6" x14ac:dyDescent="0.3">
      <c r="A10" s="119"/>
      <c r="B10" s="118" t="s">
        <v>0</v>
      </c>
      <c r="C10" s="212"/>
      <c r="E10" s="119"/>
      <c r="F10" s="119"/>
    </row>
    <row r="11" spans="1:6" x14ac:dyDescent="0.3">
      <c r="A11" s="117"/>
      <c r="B11" s="116"/>
      <c r="C11" s="213"/>
      <c r="D11" s="157" t="s">
        <v>1</v>
      </c>
      <c r="E11" s="120" t="s">
        <v>2</v>
      </c>
    </row>
    <row r="12" spans="1:6" x14ac:dyDescent="0.3">
      <c r="A12" s="117"/>
      <c r="B12" s="116"/>
      <c r="C12" s="213"/>
      <c r="D12" s="157"/>
      <c r="E12" s="117"/>
    </row>
    <row r="13" spans="1:6" x14ac:dyDescent="0.3">
      <c r="A13" s="117"/>
      <c r="B13" s="116"/>
      <c r="C13" s="213"/>
      <c r="D13" s="157" t="s">
        <v>3</v>
      </c>
      <c r="E13" s="161" t="s">
        <v>4</v>
      </c>
    </row>
    <row r="14" spans="1:6" x14ac:dyDescent="0.3">
      <c r="A14" s="117"/>
      <c r="B14" s="116"/>
      <c r="C14" s="213"/>
      <c r="D14" s="323" t="s">
        <v>5</v>
      </c>
      <c r="E14" s="161"/>
    </row>
    <row r="15" spans="1:6" x14ac:dyDescent="0.3">
      <c r="A15" s="117"/>
      <c r="B15" s="116"/>
      <c r="C15" s="213"/>
      <c r="D15" s="157"/>
      <c r="E15" s="161"/>
    </row>
    <row r="16" spans="1:6" x14ac:dyDescent="0.3">
      <c r="A16" s="117"/>
      <c r="B16" s="116"/>
      <c r="C16" s="213"/>
      <c r="D16" s="115" t="s">
        <v>6</v>
      </c>
      <c r="E16" s="162" t="s">
        <v>7</v>
      </c>
    </row>
    <row r="17" spans="1:6" x14ac:dyDescent="0.3">
      <c r="A17" s="117"/>
      <c r="B17" s="116"/>
      <c r="C17" s="213"/>
      <c r="D17" s="115"/>
      <c r="E17" s="117"/>
    </row>
    <row r="18" spans="1:6" x14ac:dyDescent="0.3">
      <c r="A18" s="117"/>
      <c r="B18" s="116"/>
      <c r="C18" s="213"/>
      <c r="D18" s="157" t="s">
        <v>8</v>
      </c>
      <c r="E18" s="163" t="s">
        <v>9</v>
      </c>
    </row>
    <row r="19" spans="1:6" x14ac:dyDescent="0.3">
      <c r="A19" s="117"/>
      <c r="B19" s="116"/>
      <c r="C19" s="213"/>
      <c r="D19" s="322" t="s">
        <v>10</v>
      </c>
      <c r="E19" s="163"/>
    </row>
    <row r="20" spans="1:6" x14ac:dyDescent="0.3">
      <c r="A20" s="117"/>
      <c r="B20" s="116"/>
      <c r="C20" s="213"/>
      <c r="D20" s="157"/>
      <c r="E20" s="117"/>
    </row>
    <row r="21" spans="1:6" x14ac:dyDescent="0.3">
      <c r="A21" s="117"/>
      <c r="B21" s="116"/>
      <c r="C21" s="213"/>
      <c r="D21" s="156" t="s">
        <v>11</v>
      </c>
      <c r="E21" s="121" t="s">
        <v>12</v>
      </c>
      <c r="F21" s="164"/>
    </row>
    <row r="22" spans="1:6" x14ac:dyDescent="0.3">
      <c r="A22" s="117"/>
      <c r="B22" s="116"/>
      <c r="C22" s="213"/>
      <c r="D22" s="157"/>
      <c r="E22" s="117"/>
    </row>
    <row r="23" spans="1:6" x14ac:dyDescent="0.3">
      <c r="A23" s="117"/>
      <c r="B23" s="116"/>
      <c r="C23" s="213"/>
      <c r="D23" s="157" t="s">
        <v>13</v>
      </c>
      <c r="E23" s="125" t="s">
        <v>14</v>
      </c>
    </row>
    <row r="24" spans="1:6" x14ac:dyDescent="0.3">
      <c r="A24" s="122"/>
      <c r="B24" s="124"/>
      <c r="C24" s="214"/>
      <c r="D24" s="115"/>
      <c r="E24" s="122"/>
      <c r="F24" s="159"/>
    </row>
    <row r="25" spans="1:6" x14ac:dyDescent="0.3">
      <c r="A25" s="122"/>
      <c r="B25" s="124"/>
      <c r="C25" s="214"/>
      <c r="D25" s="115" t="s">
        <v>15</v>
      </c>
      <c r="E25" s="123"/>
      <c r="F25" s="159"/>
    </row>
    <row r="26" spans="1:6" x14ac:dyDescent="0.3">
      <c r="A26" s="122"/>
      <c r="B26" s="124"/>
      <c r="C26" s="214"/>
      <c r="D26" s="115"/>
      <c r="E26" s="122"/>
      <c r="F26" s="159"/>
    </row>
    <row r="27" spans="1:6" x14ac:dyDescent="0.3">
      <c r="A27" s="122"/>
      <c r="B27" s="124" t="s">
        <v>16</v>
      </c>
      <c r="C27" s="214"/>
      <c r="D27" s="115"/>
      <c r="E27" s="122"/>
      <c r="F27" s="159"/>
    </row>
    <row r="28" spans="1:6" x14ac:dyDescent="0.3">
      <c r="A28" s="122"/>
      <c r="B28" s="124"/>
      <c r="C28" s="214" t="s">
        <v>17</v>
      </c>
      <c r="D28" s="115"/>
      <c r="E28" s="122"/>
      <c r="F28" s="159"/>
    </row>
    <row r="29" spans="1:6" x14ac:dyDescent="0.3">
      <c r="B29" s="159"/>
      <c r="C29" s="211"/>
      <c r="D29" s="156" t="s">
        <v>18</v>
      </c>
    </row>
    <row r="30" spans="1:6" x14ac:dyDescent="0.3">
      <c r="B30" s="159"/>
      <c r="C30" s="211"/>
    </row>
    <row r="31" spans="1:6" s="164" customFormat="1" x14ac:dyDescent="0.3">
      <c r="B31" s="207"/>
      <c r="C31" s="215"/>
      <c r="D31" s="157" t="s">
        <v>19</v>
      </c>
    </row>
    <row r="32" spans="1:6" s="164" customFormat="1" x14ac:dyDescent="0.3">
      <c r="B32" s="207"/>
      <c r="C32" s="215"/>
      <c r="D32" s="157"/>
    </row>
    <row r="33" spans="2:4" s="164" customFormat="1" x14ac:dyDescent="0.3">
      <c r="B33" s="207"/>
      <c r="C33" s="215"/>
      <c r="D33" s="157" t="s">
        <v>20</v>
      </c>
    </row>
    <row r="34" spans="2:4" s="164" customFormat="1" x14ac:dyDescent="0.3">
      <c r="B34" s="207"/>
      <c r="C34" s="215"/>
      <c r="D34" s="157"/>
    </row>
    <row r="35" spans="2:4" x14ac:dyDescent="0.3">
      <c r="B35" s="208"/>
      <c r="C35" s="211"/>
      <c r="D35" s="156" t="s">
        <v>21</v>
      </c>
    </row>
    <row r="36" spans="2:4" x14ac:dyDescent="0.3">
      <c r="B36" s="208"/>
      <c r="C36" s="211"/>
      <c r="D36" s="156" t="s">
        <v>22</v>
      </c>
    </row>
    <row r="37" spans="2:4" x14ac:dyDescent="0.3">
      <c r="B37" s="208"/>
      <c r="C37" s="211"/>
    </row>
    <row r="38" spans="2:4" x14ac:dyDescent="0.3">
      <c r="B38" s="208"/>
      <c r="C38" s="211"/>
    </row>
    <row r="39" spans="2:4" x14ac:dyDescent="0.3">
      <c r="B39" s="208"/>
      <c r="C39" s="211"/>
    </row>
    <row r="40" spans="2:4" x14ac:dyDescent="0.3">
      <c r="B40" s="208"/>
      <c r="C40" s="211"/>
    </row>
    <row r="41" spans="2:4" x14ac:dyDescent="0.3">
      <c r="B41" s="208"/>
      <c r="C41" s="211"/>
    </row>
    <row r="42" spans="2:4" x14ac:dyDescent="0.3">
      <c r="B42" s="208"/>
      <c r="C42" s="211"/>
    </row>
    <row r="43" spans="2:4" x14ac:dyDescent="0.3">
      <c r="B43" s="208"/>
      <c r="C43" s="211"/>
    </row>
    <row r="44" spans="2:4" x14ac:dyDescent="0.3">
      <c r="B44" s="208"/>
      <c r="C44" s="211"/>
    </row>
    <row r="45" spans="2:4" x14ac:dyDescent="0.3">
      <c r="B45" s="208"/>
      <c r="C45" s="211"/>
    </row>
    <row r="46" spans="2:4" x14ac:dyDescent="0.3">
      <c r="B46" s="208"/>
      <c r="C46" s="211"/>
    </row>
    <row r="47" spans="2:4" x14ac:dyDescent="0.3">
      <c r="B47" s="208"/>
      <c r="C47" s="211"/>
    </row>
    <row r="48" spans="2:4" x14ac:dyDescent="0.3">
      <c r="B48" s="208"/>
      <c r="C48" s="211"/>
    </row>
    <row r="49" spans="1:4" x14ac:dyDescent="0.3">
      <c r="B49" s="208"/>
      <c r="C49" s="211"/>
    </row>
    <row r="50" spans="1:4" x14ac:dyDescent="0.3">
      <c r="B50" s="208"/>
      <c r="C50" s="211"/>
    </row>
    <row r="51" spans="1:4" x14ac:dyDescent="0.3">
      <c r="B51" s="208"/>
      <c r="C51" s="211"/>
    </row>
    <row r="52" spans="1:4" x14ac:dyDescent="0.3">
      <c r="B52" s="208"/>
      <c r="C52" s="211"/>
    </row>
    <row r="53" spans="1:4" s="164" customFormat="1" x14ac:dyDescent="0.3">
      <c r="B53" s="207"/>
      <c r="C53" s="215"/>
      <c r="D53" s="157" t="s">
        <v>442</v>
      </c>
    </row>
    <row r="54" spans="1:4" s="164" customFormat="1" x14ac:dyDescent="0.3">
      <c r="B54" s="165"/>
      <c r="C54" s="216"/>
      <c r="D54" s="157"/>
    </row>
    <row r="55" spans="1:4" s="164" customFormat="1" x14ac:dyDescent="0.3">
      <c r="B55" s="165"/>
      <c r="C55" s="216" t="s">
        <v>23</v>
      </c>
      <c r="D55" s="157"/>
    </row>
    <row r="56" spans="1:4" s="164" customFormat="1" x14ac:dyDescent="0.3">
      <c r="B56" s="165"/>
      <c r="C56" s="216"/>
      <c r="D56" s="157" t="s">
        <v>24</v>
      </c>
    </row>
    <row r="57" spans="1:4" s="164" customFormat="1" x14ac:dyDescent="0.3">
      <c r="B57" s="165"/>
      <c r="C57" s="216"/>
      <c r="D57" s="157" t="s">
        <v>25</v>
      </c>
    </row>
    <row r="58" spans="1:4" s="164" customFormat="1" x14ac:dyDescent="0.3">
      <c r="B58" s="165"/>
      <c r="C58" s="216"/>
      <c r="D58" s="157"/>
    </row>
    <row r="59" spans="1:4" x14ac:dyDescent="0.3">
      <c r="A59" s="166" t="s">
        <v>26</v>
      </c>
    </row>
  </sheetData>
  <hyperlinks>
    <hyperlink ref="B5" r:id="rId1" xr:uid="{B1C29A57-D2B4-496D-BD6C-620927244177}"/>
  </hyperlinks>
  <pageMargins left="0.70866141732283472" right="0.70866141732283472" top="0.74803149606299213" bottom="0.74803149606299213" header="0.31496062992125984" footer="0.31496062992125984"/>
  <pageSetup paperSize="9" scale="96" orientation="portrait" horizontalDpi="300"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74D5A-6510-432C-99CB-63EF8D8C9DC9}">
  <sheetPr>
    <tabColor rgb="FF0070C0"/>
    <outlinePr summaryBelow="0" summaryRight="0"/>
  </sheetPr>
  <dimension ref="A1:P117"/>
  <sheetViews>
    <sheetView defaultGridColor="0" colorId="22" zoomScale="80" zoomScaleNormal="80" workbookViewId="0">
      <pane ySplit="2" topLeftCell="A92" activePane="bottomLeft" state="frozen"/>
      <selection activeCell="F40" sqref="F40"/>
      <selection pane="bottomLeft" activeCell="D1" sqref="D1"/>
    </sheetView>
  </sheetViews>
  <sheetFormatPr defaultColWidth="11.5546875" defaultRowHeight="14.4" x14ac:dyDescent="0.3"/>
  <cols>
    <col min="1" max="2" width="1.5546875" style="1" customWidth="1"/>
    <col min="3" max="3" width="1.5546875" style="173" customWidth="1"/>
    <col min="4" max="4" width="50.88671875" customWidth="1"/>
    <col min="5" max="5" width="4.5546875" style="314" customWidth="1"/>
    <col min="6" max="6" width="21.109375" customWidth="1"/>
    <col min="7" max="7" width="18.44140625" customWidth="1"/>
    <col min="8" max="8" width="1.5546875" style="267" customWidth="1"/>
    <col min="9" max="13" width="21.33203125" customWidth="1"/>
    <col min="14" max="14" width="12.88671875" customWidth="1"/>
    <col min="15" max="15" width="1.5546875" style="267" customWidth="1"/>
  </cols>
  <sheetData>
    <row r="1" spans="1:16" ht="24.6" x14ac:dyDescent="0.3">
      <c r="A1" s="32" t="str">
        <f ca="1" xml:space="preserve"> RIGHT(CELL("filename", A1), LEN(CELL("filename", A1)) - SEARCH("]", CELL("filename", A1)))</f>
        <v>Key inputs &amp; outputs</v>
      </c>
      <c r="F1" s="286" t="str">
        <f xml:space="preserve"> "Active case: " &amp; 'Key inputs &amp; outputs'!$F$8</f>
        <v>Active case: Base case</v>
      </c>
      <c r="G1" s="218"/>
      <c r="I1" s="218"/>
      <c r="J1" s="218"/>
      <c r="K1" s="218"/>
      <c r="L1" s="218"/>
      <c r="M1" s="218"/>
      <c r="N1" s="218"/>
    </row>
    <row r="2" spans="1:16" s="52" customFormat="1" x14ac:dyDescent="0.3">
      <c r="C2" s="180"/>
      <c r="D2" s="52" t="s">
        <v>27</v>
      </c>
      <c r="E2" s="28" t="s">
        <v>28</v>
      </c>
      <c r="F2" s="62" t="s">
        <v>29</v>
      </c>
      <c r="G2" s="52" t="s">
        <v>30</v>
      </c>
      <c r="H2" s="268"/>
      <c r="I2" s="281" t="s">
        <v>31</v>
      </c>
      <c r="J2" s="281" t="s">
        <v>32</v>
      </c>
      <c r="K2" s="281" t="s">
        <v>33</v>
      </c>
      <c r="L2" s="281" t="s">
        <v>34</v>
      </c>
      <c r="M2" s="281" t="s">
        <v>35</v>
      </c>
      <c r="N2" s="281" t="s">
        <v>36</v>
      </c>
      <c r="O2" s="268"/>
    </row>
    <row r="3" spans="1:16" s="52" customFormat="1" x14ac:dyDescent="0.3">
      <c r="C3" s="180"/>
      <c r="E3" s="29"/>
      <c r="F3" s="62"/>
      <c r="H3" s="268"/>
      <c r="I3" s="62"/>
      <c r="J3" s="62"/>
      <c r="K3" s="62"/>
      <c r="L3" s="62"/>
      <c r="M3" s="62"/>
      <c r="N3" s="62"/>
      <c r="O3" s="268"/>
    </row>
    <row r="4" spans="1:16" s="52" customFormat="1" x14ac:dyDescent="0.3">
      <c r="A4" s="52" t="s">
        <v>37</v>
      </c>
      <c r="C4" s="180"/>
      <c r="E4" s="29"/>
      <c r="F4" s="62"/>
      <c r="H4" s="268"/>
      <c r="I4" s="62"/>
      <c r="J4" s="62"/>
      <c r="K4" s="62"/>
      <c r="L4" s="62"/>
      <c r="M4" s="62"/>
      <c r="N4" s="62"/>
      <c r="O4" s="268"/>
    </row>
    <row r="5" spans="1:16" s="52" customFormat="1" x14ac:dyDescent="0.3">
      <c r="C5" s="180"/>
      <c r="D5" s="287" t="s">
        <v>38</v>
      </c>
      <c r="E5" s="317"/>
      <c r="H5" s="268"/>
      <c r="I5" s="62"/>
      <c r="J5" s="62"/>
      <c r="K5" s="62"/>
      <c r="L5" s="62"/>
      <c r="M5" s="62"/>
      <c r="N5" s="62"/>
      <c r="O5" s="268"/>
    </row>
    <row r="6" spans="1:16" s="29" customFormat="1" x14ac:dyDescent="0.3">
      <c r="C6" s="179"/>
      <c r="D6" s="285" t="s">
        <v>31</v>
      </c>
      <c r="F6" s="29">
        <f xml:space="preserve"> _xlfn.XMATCH(D6, Case_list) - 1</f>
        <v>1</v>
      </c>
      <c r="G6" s="29" t="s">
        <v>39</v>
      </c>
      <c r="H6" s="284"/>
      <c r="O6" s="284"/>
    </row>
    <row r="7" spans="1:16" s="52" customFormat="1" x14ac:dyDescent="0.3">
      <c r="C7" s="180"/>
      <c r="E7" s="29"/>
      <c r="F7" s="62"/>
      <c r="H7" s="268"/>
      <c r="I7" s="62"/>
      <c r="J7" s="62"/>
      <c r="K7" s="62"/>
      <c r="L7" s="62"/>
      <c r="M7" s="62"/>
      <c r="N7" s="62"/>
      <c r="O7" s="268"/>
    </row>
    <row r="8" spans="1:16" s="25" customFormat="1" ht="28.8" x14ac:dyDescent="0.3">
      <c r="C8" s="180"/>
      <c r="D8" s="299" t="s">
        <v>40</v>
      </c>
      <c r="E8" s="29"/>
      <c r="F8" s="328" t="str" cm="1">
        <f t="array" ref="F8" xml:space="preserve"> INDEX(H8:O8, F$6 + 1)</f>
        <v>Base case</v>
      </c>
      <c r="G8" s="25" t="s">
        <v>41</v>
      </c>
      <c r="H8" s="300"/>
      <c r="I8" s="329" t="s">
        <v>42</v>
      </c>
      <c r="J8" s="329" t="s">
        <v>422</v>
      </c>
      <c r="K8" s="329" t="s">
        <v>423</v>
      </c>
      <c r="L8" s="329" t="s">
        <v>43</v>
      </c>
      <c r="M8" s="329" t="s">
        <v>410</v>
      </c>
      <c r="N8" s="329"/>
      <c r="O8" s="300"/>
    </row>
    <row r="9" spans="1:16" s="52" customFormat="1" x14ac:dyDescent="0.3">
      <c r="C9" s="180"/>
      <c r="E9" s="29"/>
      <c r="F9" s="62"/>
      <c r="H9" s="268"/>
      <c r="I9" s="62"/>
      <c r="J9" s="62"/>
      <c r="K9" s="62"/>
      <c r="L9" s="62"/>
      <c r="M9" s="62"/>
      <c r="N9" s="62"/>
      <c r="O9" s="268"/>
    </row>
    <row r="10" spans="1:16" x14ac:dyDescent="0.3">
      <c r="B10" s="1" t="s">
        <v>44</v>
      </c>
      <c r="F10" s="219"/>
      <c r="G10" s="219"/>
      <c r="I10" s="219"/>
      <c r="J10" s="219"/>
      <c r="K10" s="219"/>
      <c r="L10" s="219"/>
      <c r="M10" s="219"/>
      <c r="N10" s="219"/>
    </row>
    <row r="11" spans="1:16" s="70" customFormat="1" x14ac:dyDescent="0.3">
      <c r="A11" s="111"/>
      <c r="B11" s="111"/>
      <c r="C11" s="174"/>
      <c r="D11" s="127" t="s">
        <v>45</v>
      </c>
      <c r="E11" s="29"/>
      <c r="F11" s="282" cm="1">
        <f t="array" ref="F11" xml:space="preserve"> INDEX(H11:O11, F$6 + 1)</f>
        <v>130</v>
      </c>
      <c r="G11" s="70" t="s">
        <v>46</v>
      </c>
      <c r="H11" s="269"/>
      <c r="I11" s="14">
        <v>130</v>
      </c>
      <c r="J11" s="14">
        <v>130</v>
      </c>
      <c r="K11" s="14">
        <v>130</v>
      </c>
      <c r="L11" s="14">
        <v>130</v>
      </c>
      <c r="M11" s="14">
        <v>130</v>
      </c>
      <c r="N11" s="128"/>
      <c r="O11" s="269"/>
    </row>
    <row r="12" spans="1:16" s="16" customFormat="1" x14ac:dyDescent="0.3">
      <c r="A12" s="65"/>
      <c r="B12" s="65"/>
      <c r="C12" s="176"/>
      <c r="D12" s="26" t="s">
        <v>47</v>
      </c>
      <c r="E12" s="29"/>
      <c r="F12" s="29" cm="1">
        <f t="array" ref="F12" xml:space="preserve"> INDEX(H12:O12, F$6 + 1)</f>
        <v>10000</v>
      </c>
      <c r="G12" s="16" t="s">
        <v>48</v>
      </c>
      <c r="H12" s="270"/>
      <c r="I12" s="14">
        <v>10000</v>
      </c>
      <c r="J12" s="14">
        <v>5000</v>
      </c>
      <c r="K12" s="14">
        <v>15000</v>
      </c>
      <c r="L12" s="14">
        <v>10000</v>
      </c>
      <c r="M12" s="14">
        <v>10000</v>
      </c>
      <c r="N12" s="129"/>
      <c r="O12" s="270"/>
    </row>
    <row r="13" spans="1:16" s="70" customFormat="1" x14ac:dyDescent="0.3">
      <c r="A13" s="111"/>
      <c r="B13" s="111"/>
      <c r="C13" s="174"/>
      <c r="D13" s="46" t="s">
        <v>49</v>
      </c>
      <c r="E13" s="29"/>
      <c r="F13" s="244" cm="1">
        <f t="array" ref="F13" xml:space="preserve"> INDEX(H13:O13, F$6 + 1)</f>
        <v>0.08</v>
      </c>
      <c r="G13" s="47" t="s">
        <v>50</v>
      </c>
      <c r="H13" s="269"/>
      <c r="I13" s="14">
        <v>0.08</v>
      </c>
      <c r="J13" s="14">
        <v>0.08</v>
      </c>
      <c r="K13" s="14">
        <v>0.08</v>
      </c>
      <c r="L13" s="14">
        <v>0.08</v>
      </c>
      <c r="M13" s="14">
        <v>0.08</v>
      </c>
      <c r="N13" s="14"/>
      <c r="O13" s="269"/>
      <c r="P13" s="357"/>
    </row>
    <row r="14" spans="1:16" s="297" customFormat="1" x14ac:dyDescent="0.3">
      <c r="A14" s="294"/>
      <c r="B14" s="294"/>
      <c r="C14" s="295"/>
      <c r="D14" s="86" t="s">
        <v>51</v>
      </c>
      <c r="E14" s="29"/>
      <c r="F14" s="72">
        <f>F12*F13</f>
        <v>800</v>
      </c>
      <c r="G14" s="72" t="s">
        <v>52</v>
      </c>
      <c r="H14" s="296"/>
      <c r="I14" s="282"/>
      <c r="J14" s="369"/>
      <c r="K14" s="369"/>
      <c r="L14" s="369"/>
      <c r="M14" s="369"/>
      <c r="N14" s="282"/>
      <c r="O14" s="296"/>
    </row>
    <row r="15" spans="1:16" s="70" customFormat="1" x14ac:dyDescent="0.3">
      <c r="A15" s="111"/>
      <c r="B15" s="111"/>
      <c r="C15" s="174"/>
      <c r="D15" s="127"/>
      <c r="E15" s="29"/>
      <c r="F15" s="282"/>
      <c r="H15" s="269"/>
      <c r="I15" s="282"/>
      <c r="J15" s="369"/>
      <c r="K15" s="369"/>
      <c r="L15" s="369"/>
      <c r="M15" s="369"/>
      <c r="N15" s="282"/>
      <c r="O15" s="269"/>
    </row>
    <row r="16" spans="1:16" s="16" customFormat="1" x14ac:dyDescent="0.3">
      <c r="A16" s="65"/>
      <c r="B16" s="65"/>
      <c r="C16" s="176"/>
      <c r="D16" s="26" t="s">
        <v>53</v>
      </c>
      <c r="E16" s="29"/>
      <c r="F16" s="29" cm="1">
        <f t="array" ref="F16" xml:space="preserve"> INDEX(H16:O16, F$6 + 1)</f>
        <v>1000</v>
      </c>
      <c r="G16" s="16" t="s">
        <v>52</v>
      </c>
      <c r="H16" s="270"/>
      <c r="I16" s="129">
        <f>$I$12*0.1</f>
        <v>1000</v>
      </c>
      <c r="J16" s="367">
        <f>$I$16*0.9</f>
        <v>900</v>
      </c>
      <c r="K16" s="367">
        <f>$I$16*1.1</f>
        <v>1100</v>
      </c>
      <c r="L16" s="367">
        <f t="shared" ref="L16:M16" si="0">$I$12*0.1</f>
        <v>1000</v>
      </c>
      <c r="M16" s="367">
        <f t="shared" si="0"/>
        <v>1000</v>
      </c>
      <c r="N16" s="129"/>
      <c r="O16" s="270"/>
    </row>
    <row r="17" spans="1:16" s="70" customFormat="1" x14ac:dyDescent="0.3">
      <c r="A17" s="111"/>
      <c r="B17" s="111"/>
      <c r="C17" s="174"/>
      <c r="D17" s="127" t="s">
        <v>54</v>
      </c>
      <c r="E17" s="29"/>
      <c r="F17" s="282" cm="1">
        <f t="array" ref="F17" xml:space="preserve"> INDEX(H17:O17, F$6 + 1)</f>
        <v>15</v>
      </c>
      <c r="G17" s="70" t="s">
        <v>55</v>
      </c>
      <c r="H17" s="269"/>
      <c r="I17" s="128">
        <v>15</v>
      </c>
      <c r="J17" s="370">
        <f>$I$17*0.9</f>
        <v>13.5</v>
      </c>
      <c r="K17" s="370">
        <f>$I$17*1.1</f>
        <v>16.5</v>
      </c>
      <c r="L17" s="370">
        <v>15</v>
      </c>
      <c r="M17" s="370">
        <v>15</v>
      </c>
      <c r="N17" s="128"/>
      <c r="O17" s="269"/>
    </row>
    <row r="18" spans="1:16" s="70" customFormat="1" x14ac:dyDescent="0.3">
      <c r="A18" s="111"/>
      <c r="B18" s="111"/>
      <c r="C18" s="174"/>
      <c r="D18" s="127"/>
      <c r="E18" s="29"/>
      <c r="F18" s="282"/>
      <c r="H18" s="269"/>
      <c r="I18" s="282"/>
      <c r="J18" s="369"/>
      <c r="K18" s="369"/>
      <c r="L18" s="369"/>
      <c r="M18" s="369"/>
      <c r="N18" s="282"/>
      <c r="O18" s="269"/>
    </row>
    <row r="19" spans="1:16" s="47" customFormat="1" x14ac:dyDescent="0.3">
      <c r="A19" s="48"/>
      <c r="B19" s="48"/>
      <c r="C19" s="175"/>
      <c r="D19" s="46" t="s">
        <v>56</v>
      </c>
      <c r="E19" s="29"/>
      <c r="F19" s="25" cm="1">
        <f t="array" ref="F19" xml:space="preserve"> INDEX(H19:O19, F$6 + 1)</f>
        <v>40</v>
      </c>
      <c r="G19" s="47" t="s">
        <v>57</v>
      </c>
      <c r="H19" s="271"/>
      <c r="I19" s="14">
        <v>40</v>
      </c>
      <c r="J19" s="368">
        <v>40</v>
      </c>
      <c r="K19" s="368">
        <v>40</v>
      </c>
      <c r="L19" s="368">
        <v>40</v>
      </c>
      <c r="M19" s="368">
        <v>40</v>
      </c>
      <c r="N19" s="14"/>
      <c r="O19" s="271"/>
    </row>
    <row r="20" spans="1:16" s="70" customFormat="1" x14ac:dyDescent="0.3">
      <c r="A20" s="111"/>
      <c r="B20" s="111"/>
      <c r="C20" s="174"/>
      <c r="D20" s="127"/>
      <c r="E20" s="29"/>
      <c r="F20" s="282"/>
      <c r="H20" s="269"/>
      <c r="I20" s="282"/>
      <c r="J20" s="369"/>
      <c r="K20" s="369"/>
      <c r="L20" s="369"/>
      <c r="M20" s="369"/>
      <c r="N20" s="282"/>
      <c r="O20" s="269"/>
    </row>
    <row r="21" spans="1:16" s="46" customFormat="1" x14ac:dyDescent="0.3">
      <c r="A21" s="45"/>
      <c r="B21" s="45"/>
      <c r="C21" s="186"/>
      <c r="D21" s="10" t="s">
        <v>58</v>
      </c>
      <c r="E21" s="29"/>
      <c r="F21" s="258" t="str" cm="1">
        <f t="array" ref="F21" xml:space="preserve"> INDEX(H21:O21, F$6 + 1)</f>
        <v>Rice</v>
      </c>
      <c r="G21" s="9" t="s">
        <v>59</v>
      </c>
      <c r="H21" s="271"/>
      <c r="I21" s="293" t="s">
        <v>353</v>
      </c>
      <c r="J21" s="371" t="s">
        <v>353</v>
      </c>
      <c r="K21" s="371" t="s">
        <v>353</v>
      </c>
      <c r="L21" s="371" t="s">
        <v>348</v>
      </c>
      <c r="M21" s="371" t="s">
        <v>353</v>
      </c>
      <c r="N21" s="293"/>
      <c r="O21" s="271"/>
    </row>
    <row r="22" spans="1:16" s="46" customFormat="1" x14ac:dyDescent="0.3">
      <c r="A22" s="45"/>
      <c r="B22" s="45"/>
      <c r="C22" s="186"/>
      <c r="D22" s="10" t="s">
        <v>62</v>
      </c>
      <c r="E22" s="29"/>
      <c r="F22" s="9">
        <f xml:space="preserve"> _xlfn.XMATCH(F21, Crop_and_fruit_list) - 1</f>
        <v>24</v>
      </c>
      <c r="G22" s="9" t="s">
        <v>63</v>
      </c>
      <c r="H22" s="271"/>
      <c r="I22" s="158"/>
      <c r="J22" s="236"/>
      <c r="K22" s="236"/>
      <c r="L22" s="236"/>
      <c r="M22" s="236"/>
      <c r="N22" s="158"/>
      <c r="O22" s="271"/>
    </row>
    <row r="23" spans="1:16" s="25" customFormat="1" x14ac:dyDescent="0.3">
      <c r="A23" s="52"/>
      <c r="B23" s="52"/>
      <c r="C23" s="180"/>
      <c r="D23" s="59" t="s">
        <v>64</v>
      </c>
      <c r="E23" s="29"/>
      <c r="F23" s="243" cm="1">
        <f t="array" ref="F23" xml:space="preserve"> INDEX(H23:O23, F$6 + 1)</f>
        <v>0.02</v>
      </c>
      <c r="G23" s="55" t="s">
        <v>65</v>
      </c>
      <c r="H23" s="272"/>
      <c r="I23" s="11">
        <v>0.02</v>
      </c>
      <c r="J23" s="372">
        <f>$I$23*0.9</f>
        <v>1.8000000000000002E-2</v>
      </c>
      <c r="K23" s="372">
        <f>$I$23*1.1</f>
        <v>2.2000000000000002E-2</v>
      </c>
      <c r="L23" s="372">
        <v>0.02</v>
      </c>
      <c r="M23" s="372">
        <v>0.02</v>
      </c>
      <c r="N23" s="11"/>
      <c r="O23" s="272"/>
    </row>
    <row r="24" spans="1:16" s="46" customFormat="1" x14ac:dyDescent="0.3">
      <c r="A24" s="45"/>
      <c r="B24" s="45"/>
      <c r="C24" s="186"/>
      <c r="D24" s="10"/>
      <c r="E24" s="29"/>
      <c r="F24" s="258"/>
      <c r="G24" s="9"/>
      <c r="H24" s="271"/>
      <c r="I24" s="158"/>
      <c r="J24" s="236"/>
      <c r="K24" s="236"/>
      <c r="L24" s="236"/>
      <c r="M24" s="236"/>
      <c r="N24" s="158"/>
      <c r="O24" s="271"/>
    </row>
    <row r="25" spans="1:16" s="47" customFormat="1" x14ac:dyDescent="0.3">
      <c r="A25" s="48"/>
      <c r="B25" s="48"/>
      <c r="C25" s="175"/>
      <c r="D25" s="46" t="s">
        <v>66</v>
      </c>
      <c r="E25" s="29"/>
      <c r="F25" s="25" cm="1">
        <f t="array" ref="F25" xml:space="preserve"> INDEX(H25:O25, F$6 + 1)</f>
        <v>50</v>
      </c>
      <c r="G25" s="47" t="s">
        <v>67</v>
      </c>
      <c r="H25" s="271"/>
      <c r="I25" s="14">
        <v>50</v>
      </c>
      <c r="J25" s="368">
        <f>$I$25*0.9</f>
        <v>45</v>
      </c>
      <c r="K25" s="368">
        <f>$I$25*1.1</f>
        <v>55.000000000000007</v>
      </c>
      <c r="L25" s="368">
        <v>50</v>
      </c>
      <c r="M25" s="368">
        <v>50</v>
      </c>
      <c r="N25" s="14"/>
      <c r="O25" s="271"/>
    </row>
    <row r="26" spans="1:16" s="46" customFormat="1" x14ac:dyDescent="0.3">
      <c r="A26" s="45"/>
      <c r="B26" s="45"/>
      <c r="C26" s="186"/>
      <c r="E26" s="29"/>
      <c r="F26" s="25"/>
      <c r="H26" s="271"/>
      <c r="I26" s="25"/>
      <c r="J26" s="373"/>
      <c r="K26" s="373"/>
      <c r="L26" s="373"/>
      <c r="M26" s="373"/>
      <c r="N26" s="25"/>
      <c r="O26" s="271"/>
    </row>
    <row r="27" spans="1:16" s="46" customFormat="1" x14ac:dyDescent="0.3">
      <c r="A27" s="45"/>
      <c r="B27" s="45"/>
      <c r="C27" s="186"/>
      <c r="D27" s="10" t="s">
        <v>68</v>
      </c>
      <c r="E27" s="29"/>
      <c r="F27" s="258" t="str" cm="1">
        <f t="array" ref="F27" xml:space="preserve"> INDEX(H27:O27, F$6 + 1)</f>
        <v>Meat of cattle</v>
      </c>
      <c r="G27" s="9" t="s">
        <v>59</v>
      </c>
      <c r="H27" s="271"/>
      <c r="I27" s="293" t="s">
        <v>373</v>
      </c>
      <c r="J27" s="371" t="s">
        <v>373</v>
      </c>
      <c r="K27" s="371" t="s">
        <v>373</v>
      </c>
      <c r="L27" s="371" t="s">
        <v>374</v>
      </c>
      <c r="M27" s="371" t="s">
        <v>373</v>
      </c>
      <c r="N27" s="293"/>
      <c r="O27" s="271"/>
      <c r="P27" s="30"/>
    </row>
    <row r="28" spans="1:16" s="46" customFormat="1" x14ac:dyDescent="0.3">
      <c r="A28" s="45"/>
      <c r="B28" s="45"/>
      <c r="C28" s="186"/>
      <c r="D28" s="10" t="s">
        <v>71</v>
      </c>
      <c r="E28" s="29"/>
      <c r="F28" s="9">
        <f xml:space="preserve"> _xlfn.XMATCH(F27, Livestock_list) - 1</f>
        <v>1</v>
      </c>
      <c r="G28" s="9" t="s">
        <v>63</v>
      </c>
      <c r="H28" s="271"/>
      <c r="I28" s="25"/>
      <c r="J28" s="373"/>
      <c r="K28" s="373"/>
      <c r="L28" s="373"/>
      <c r="M28" s="373"/>
      <c r="N28" s="25"/>
      <c r="O28" s="271"/>
    </row>
    <row r="29" spans="1:16" s="46" customFormat="1" x14ac:dyDescent="0.3">
      <c r="A29" s="45"/>
      <c r="B29" s="45"/>
      <c r="C29" s="186"/>
      <c r="D29" s="59" t="s">
        <v>72</v>
      </c>
      <c r="E29" s="29"/>
      <c r="F29" s="243" cm="1">
        <f t="array" ref="F29" xml:space="preserve"> INDEX(H29:O29, F$6 + 1)</f>
        <v>0.02</v>
      </c>
      <c r="G29" s="55" t="s">
        <v>65</v>
      </c>
      <c r="H29" s="271"/>
      <c r="I29" s="11">
        <v>0.02</v>
      </c>
      <c r="J29" s="372">
        <f>$I$29*0.9</f>
        <v>1.8000000000000002E-2</v>
      </c>
      <c r="K29" s="372">
        <f>$I$29*1.1</f>
        <v>2.2000000000000002E-2</v>
      </c>
      <c r="L29" s="372">
        <v>0.02</v>
      </c>
      <c r="M29" s="372">
        <v>0.02</v>
      </c>
      <c r="N29" s="11"/>
      <c r="O29" s="271"/>
    </row>
    <row r="30" spans="1:16" s="47" customFormat="1" x14ac:dyDescent="0.3">
      <c r="A30" s="48"/>
      <c r="B30" s="48"/>
      <c r="C30" s="175"/>
      <c r="D30" s="46" t="s">
        <v>73</v>
      </c>
      <c r="E30" s="29"/>
      <c r="F30" s="25" cm="1">
        <f t="array" ref="F30" xml:space="preserve"> INDEX(H30:O30, F$6 + 1)</f>
        <v>20</v>
      </c>
      <c r="G30" s="16" t="s">
        <v>52</v>
      </c>
      <c r="H30" s="271"/>
      <c r="I30" s="14">
        <v>20</v>
      </c>
      <c r="J30" s="368">
        <f>$I$30*0.9</f>
        <v>18</v>
      </c>
      <c r="K30" s="368">
        <f>$I$30*1.1</f>
        <v>22</v>
      </c>
      <c r="L30" s="368">
        <v>20</v>
      </c>
      <c r="M30" s="368">
        <v>20</v>
      </c>
      <c r="N30" s="14"/>
      <c r="O30" s="271"/>
    </row>
    <row r="31" spans="1:16" s="46" customFormat="1" x14ac:dyDescent="0.3">
      <c r="A31" s="45"/>
      <c r="B31" s="45"/>
      <c r="C31" s="186"/>
      <c r="E31" s="29"/>
      <c r="F31" s="25"/>
      <c r="H31" s="271"/>
      <c r="I31" s="25"/>
      <c r="J31" s="25"/>
      <c r="K31" s="25"/>
      <c r="L31" s="25"/>
      <c r="M31" s="25"/>
      <c r="N31" s="25"/>
      <c r="O31" s="271"/>
    </row>
    <row r="32" spans="1:16" s="46" customFormat="1" x14ac:dyDescent="0.3">
      <c r="A32" s="45"/>
      <c r="B32" s="45" t="s">
        <v>74</v>
      </c>
      <c r="C32" s="186"/>
      <c r="E32" s="29"/>
      <c r="F32" s="25"/>
      <c r="H32" s="271"/>
      <c r="I32" s="25"/>
      <c r="J32" s="25"/>
      <c r="K32" s="25"/>
      <c r="L32" s="25"/>
      <c r="M32" s="25"/>
      <c r="N32" s="25"/>
      <c r="O32" s="271"/>
    </row>
    <row r="33" spans="1:15" s="150" customFormat="1" x14ac:dyDescent="0.3">
      <c r="B33" s="149"/>
      <c r="C33" s="184"/>
      <c r="D33" s="253" t="s">
        <v>75</v>
      </c>
      <c r="E33" s="29"/>
      <c r="F33" s="283" cm="1">
        <f t="array" ref="F33" xml:space="preserve"> INDEX(H33:O33, F$6 + 1)</f>
        <v>1</v>
      </c>
      <c r="G33" s="150" t="s">
        <v>76</v>
      </c>
      <c r="H33" s="273"/>
      <c r="I33" s="254">
        <v>1</v>
      </c>
      <c r="J33" s="254">
        <v>0.9</v>
      </c>
      <c r="K33" s="254">
        <v>1.1000000000000001</v>
      </c>
      <c r="L33" s="254">
        <v>1</v>
      </c>
      <c r="M33" s="254">
        <v>1</v>
      </c>
      <c r="N33" s="254"/>
      <c r="O33" s="273"/>
    </row>
    <row r="34" spans="1:15" s="150" customFormat="1" x14ac:dyDescent="0.3">
      <c r="B34" s="149"/>
      <c r="C34" s="184"/>
      <c r="D34" s="253" t="s">
        <v>77</v>
      </c>
      <c r="E34" s="29"/>
      <c r="F34" s="283" cm="1">
        <f t="array" ref="F34" xml:space="preserve"> INDEX(H34:O34, F$6 + 1)</f>
        <v>1</v>
      </c>
      <c r="G34" s="150" t="s">
        <v>76</v>
      </c>
      <c r="H34" s="273"/>
      <c r="I34" s="254">
        <v>1</v>
      </c>
      <c r="J34" s="254">
        <v>0.9</v>
      </c>
      <c r="K34" s="254">
        <v>1.1000000000000001</v>
      </c>
      <c r="L34" s="254">
        <v>1</v>
      </c>
      <c r="M34" s="254">
        <v>1</v>
      </c>
      <c r="N34" s="254"/>
      <c r="O34" s="273"/>
    </row>
    <row r="35" spans="1:15" s="150" customFormat="1" x14ac:dyDescent="0.3">
      <c r="B35" s="149"/>
      <c r="C35" s="184"/>
      <c r="D35" s="253" t="s">
        <v>78</v>
      </c>
      <c r="E35" s="29"/>
      <c r="F35" s="283" cm="1">
        <f t="array" ref="F35" xml:space="preserve"> INDEX(H35:O35, F$6 + 1)</f>
        <v>1</v>
      </c>
      <c r="G35" s="150" t="s">
        <v>76</v>
      </c>
      <c r="H35" s="273"/>
      <c r="I35" s="254">
        <v>1</v>
      </c>
      <c r="J35" s="254">
        <v>0.9</v>
      </c>
      <c r="K35" s="254">
        <v>1.1000000000000001</v>
      </c>
      <c r="L35" s="254">
        <v>1</v>
      </c>
      <c r="M35" s="254">
        <v>1</v>
      </c>
      <c r="N35" s="254"/>
      <c r="O35" s="273"/>
    </row>
    <row r="36" spans="1:15" s="150" customFormat="1" x14ac:dyDescent="0.3">
      <c r="B36" s="149"/>
      <c r="C36" s="184"/>
      <c r="D36" s="253" t="s">
        <v>79</v>
      </c>
      <c r="E36" s="29"/>
      <c r="F36" s="283" cm="1">
        <f t="array" ref="F36" xml:space="preserve"> INDEX(H36:O36, F$6 + 1)</f>
        <v>1</v>
      </c>
      <c r="G36" s="150" t="s">
        <v>76</v>
      </c>
      <c r="H36" s="273"/>
      <c r="I36" s="254">
        <v>1</v>
      </c>
      <c r="J36" s="254">
        <v>0.9</v>
      </c>
      <c r="K36" s="254">
        <v>1.1000000000000001</v>
      </c>
      <c r="L36" s="254">
        <v>1</v>
      </c>
      <c r="M36" s="359">
        <v>0</v>
      </c>
      <c r="N36" s="254"/>
      <c r="O36" s="273"/>
    </row>
    <row r="37" spans="1:15" s="150" customFormat="1" x14ac:dyDescent="0.3">
      <c r="B37" s="149"/>
      <c r="C37" s="184"/>
      <c r="D37" s="253" t="s">
        <v>80</v>
      </c>
      <c r="E37" s="29"/>
      <c r="F37" s="283" cm="1">
        <f t="array" ref="F37" xml:space="preserve"> INDEX(H37:O37, F$6 + 1)</f>
        <v>0.5</v>
      </c>
      <c r="G37" s="150" t="s">
        <v>76</v>
      </c>
      <c r="H37" s="273"/>
      <c r="I37" s="254">
        <v>0.5</v>
      </c>
      <c r="J37" s="254">
        <v>0.4</v>
      </c>
      <c r="K37" s="254">
        <v>0.6</v>
      </c>
      <c r="L37" s="254">
        <v>0.5</v>
      </c>
      <c r="M37" s="359">
        <v>0</v>
      </c>
      <c r="N37" s="254"/>
      <c r="O37" s="273"/>
    </row>
    <row r="38" spans="1:15" s="150" customFormat="1" x14ac:dyDescent="0.3">
      <c r="B38" s="149"/>
      <c r="C38" s="184"/>
      <c r="D38" s="253" t="s">
        <v>81</v>
      </c>
      <c r="E38" s="29"/>
      <c r="F38" s="283" cm="1">
        <f t="array" ref="F38" xml:space="preserve"> INDEX(H38:O38, F$6 + 1)</f>
        <v>0.5</v>
      </c>
      <c r="G38" s="150" t="s">
        <v>76</v>
      </c>
      <c r="H38" s="273"/>
      <c r="I38" s="254">
        <v>0.5</v>
      </c>
      <c r="J38" s="254">
        <v>0.4</v>
      </c>
      <c r="K38" s="254">
        <v>0.6</v>
      </c>
      <c r="L38" s="254">
        <v>0.5</v>
      </c>
      <c r="M38" s="359">
        <v>0</v>
      </c>
      <c r="N38" s="254"/>
      <c r="O38" s="273"/>
    </row>
    <row r="39" spans="1:15" s="150" customFormat="1" x14ac:dyDescent="0.3">
      <c r="B39" s="149"/>
      <c r="C39" s="184"/>
      <c r="D39" s="253" t="s">
        <v>82</v>
      </c>
      <c r="E39" s="29"/>
      <c r="F39" s="283" cm="1">
        <f t="array" ref="F39" xml:space="preserve"> INDEX(H39:O39, F$6 + 1)</f>
        <v>0.5</v>
      </c>
      <c r="G39" s="150" t="s">
        <v>76</v>
      </c>
      <c r="H39" s="273"/>
      <c r="I39" s="254">
        <v>0.5</v>
      </c>
      <c r="J39" s="254">
        <v>0.4</v>
      </c>
      <c r="K39" s="254">
        <v>0.6</v>
      </c>
      <c r="L39" s="254">
        <v>0.5</v>
      </c>
      <c r="M39" s="359">
        <v>0</v>
      </c>
      <c r="N39" s="254"/>
      <c r="O39" s="273"/>
    </row>
    <row r="40" spans="1:15" s="150" customFormat="1" x14ac:dyDescent="0.3">
      <c r="B40" s="149"/>
      <c r="C40" s="184"/>
      <c r="D40" s="253" t="s">
        <v>83</v>
      </c>
      <c r="E40" s="29"/>
      <c r="F40" s="283" cm="1">
        <f t="array" ref="F40" xml:space="preserve"> INDEX(H40:O40, F$6 + 1)</f>
        <v>1</v>
      </c>
      <c r="G40" s="150" t="s">
        <v>76</v>
      </c>
      <c r="H40" s="273"/>
      <c r="I40" s="254">
        <v>1</v>
      </c>
      <c r="J40" s="254">
        <v>0.9</v>
      </c>
      <c r="K40" s="254">
        <v>1.1000000000000001</v>
      </c>
      <c r="L40" s="254">
        <v>1</v>
      </c>
      <c r="M40" s="359">
        <v>0</v>
      </c>
      <c r="N40" s="254"/>
      <c r="O40" s="273"/>
    </row>
    <row r="41" spans="1:15" s="150" customFormat="1" x14ac:dyDescent="0.3">
      <c r="B41" s="149"/>
      <c r="C41" s="184"/>
      <c r="D41" s="253" t="s">
        <v>84</v>
      </c>
      <c r="E41" s="29"/>
      <c r="F41" s="283" cm="1">
        <f t="array" ref="F41" xml:space="preserve"> INDEX(H41:O41, F$6 + 1)</f>
        <v>0.5</v>
      </c>
      <c r="G41" s="150" t="s">
        <v>76</v>
      </c>
      <c r="H41" s="273"/>
      <c r="I41" s="254">
        <v>0.5</v>
      </c>
      <c r="J41" s="254">
        <v>0.4</v>
      </c>
      <c r="K41" s="254">
        <v>0.6</v>
      </c>
      <c r="L41" s="254">
        <v>0.5</v>
      </c>
      <c r="M41" s="359">
        <v>0</v>
      </c>
      <c r="N41" s="254"/>
      <c r="O41" s="273"/>
    </row>
    <row r="42" spans="1:15" s="150" customFormat="1" x14ac:dyDescent="0.3">
      <c r="B42" s="149"/>
      <c r="C42" s="184"/>
      <c r="D42" s="253" t="s">
        <v>85</v>
      </c>
      <c r="E42" s="29"/>
      <c r="F42" s="283" cm="1">
        <f t="array" ref="F42" xml:space="preserve"> INDEX(H42:O42, F$6 + 1)</f>
        <v>1</v>
      </c>
      <c r="G42" s="150" t="s">
        <v>76</v>
      </c>
      <c r="H42" s="273"/>
      <c r="I42" s="254">
        <v>1</v>
      </c>
      <c r="J42" s="254">
        <v>0.9</v>
      </c>
      <c r="K42" s="254">
        <v>1.1000000000000001</v>
      </c>
      <c r="L42" s="254">
        <v>1</v>
      </c>
      <c r="M42" s="254">
        <v>1</v>
      </c>
      <c r="N42" s="254"/>
      <c r="O42" s="273"/>
    </row>
    <row r="43" spans="1:15" s="150" customFormat="1" x14ac:dyDescent="0.3">
      <c r="B43" s="149"/>
      <c r="C43" s="184"/>
      <c r="D43" s="253" t="s">
        <v>86</v>
      </c>
      <c r="E43" s="29"/>
      <c r="F43" s="283" cm="1">
        <f t="array" ref="F43" xml:space="preserve"> INDEX(H43:O43, F$6 + 1)</f>
        <v>1</v>
      </c>
      <c r="G43" s="150" t="s">
        <v>76</v>
      </c>
      <c r="H43" s="273"/>
      <c r="I43" s="254">
        <v>1</v>
      </c>
      <c r="J43" s="254">
        <v>0.9</v>
      </c>
      <c r="K43" s="254">
        <v>1.1000000000000001</v>
      </c>
      <c r="L43" s="254">
        <v>1</v>
      </c>
      <c r="M43" s="254">
        <v>1</v>
      </c>
      <c r="N43" s="254"/>
      <c r="O43" s="273"/>
    </row>
    <row r="44" spans="1:15" s="150" customFormat="1" x14ac:dyDescent="0.3">
      <c r="B44" s="149"/>
      <c r="C44" s="184"/>
      <c r="D44" s="253" t="s">
        <v>87</v>
      </c>
      <c r="E44" s="29"/>
      <c r="F44" s="283" cm="1">
        <f t="array" ref="F44" xml:space="preserve"> INDEX(H44:O44, F$6 + 1)</f>
        <v>1</v>
      </c>
      <c r="G44" s="150" t="s">
        <v>76</v>
      </c>
      <c r="H44" s="273"/>
      <c r="I44" s="254">
        <v>1</v>
      </c>
      <c r="J44" s="254">
        <v>0.9</v>
      </c>
      <c r="K44" s="254">
        <v>1.1000000000000001</v>
      </c>
      <c r="L44" s="254">
        <v>1</v>
      </c>
      <c r="M44" s="254">
        <v>1</v>
      </c>
      <c r="N44" s="254"/>
      <c r="O44" s="273"/>
    </row>
    <row r="45" spans="1:15" s="150" customFormat="1" x14ac:dyDescent="0.3">
      <c r="B45" s="149"/>
      <c r="C45" s="184"/>
      <c r="D45" s="253" t="s">
        <v>88</v>
      </c>
      <c r="E45" s="29"/>
      <c r="F45" s="283" cm="1">
        <f t="array" ref="F45" xml:space="preserve"> INDEX(H45:O45, F$6 + 1)</f>
        <v>0.05</v>
      </c>
      <c r="G45" s="150" t="s">
        <v>76</v>
      </c>
      <c r="H45" s="273"/>
      <c r="I45" s="254">
        <v>0.05</v>
      </c>
      <c r="J45" s="254">
        <v>0.05</v>
      </c>
      <c r="K45" s="254">
        <v>0.05</v>
      </c>
      <c r="L45" s="254">
        <v>0.05</v>
      </c>
      <c r="M45" s="359">
        <v>0</v>
      </c>
      <c r="N45" s="254"/>
      <c r="O45" s="273"/>
    </row>
    <row r="46" spans="1:15" s="150" customFormat="1" x14ac:dyDescent="0.3">
      <c r="B46" s="149"/>
      <c r="C46" s="184"/>
      <c r="D46" s="253" t="s">
        <v>89</v>
      </c>
      <c r="E46" s="29"/>
      <c r="F46" s="283" cm="1">
        <f t="array" ref="F46" xml:space="preserve"> INDEX(H46:O46, F$6 + 1)</f>
        <v>1</v>
      </c>
      <c r="G46" s="150" t="s">
        <v>76</v>
      </c>
      <c r="H46" s="273"/>
      <c r="I46" s="254">
        <v>1</v>
      </c>
      <c r="J46" s="254">
        <v>0.9</v>
      </c>
      <c r="K46" s="254">
        <v>1.1000000000000001</v>
      </c>
      <c r="L46" s="254">
        <v>1</v>
      </c>
      <c r="M46" s="359">
        <v>0</v>
      </c>
      <c r="N46" s="254"/>
      <c r="O46" s="273"/>
    </row>
    <row r="47" spans="1:15" s="150" customFormat="1" x14ac:dyDescent="0.3">
      <c r="B47" s="149"/>
      <c r="C47" s="184"/>
      <c r="D47" s="253" t="s">
        <v>90</v>
      </c>
      <c r="E47" s="29"/>
      <c r="F47" s="283" cm="1">
        <f t="array" ref="F47" xml:space="preserve"> INDEX(H47:O47, F$6 + 1)</f>
        <v>0.05</v>
      </c>
      <c r="G47" s="150" t="s">
        <v>76</v>
      </c>
      <c r="H47" s="273"/>
      <c r="I47" s="254">
        <v>0.05</v>
      </c>
      <c r="J47" s="254">
        <v>0.05</v>
      </c>
      <c r="K47" s="254">
        <v>0.05</v>
      </c>
      <c r="L47" s="254">
        <v>0.05</v>
      </c>
      <c r="M47" s="359">
        <v>0</v>
      </c>
      <c r="N47" s="254"/>
      <c r="O47" s="273"/>
    </row>
    <row r="48" spans="1:15" s="46" customFormat="1" x14ac:dyDescent="0.3">
      <c r="A48" s="45"/>
      <c r="B48" s="45"/>
      <c r="C48" s="186"/>
      <c r="E48" s="29"/>
      <c r="F48" s="25"/>
      <c r="H48" s="271"/>
      <c r="I48" s="25"/>
      <c r="J48" s="25"/>
      <c r="K48" s="25"/>
      <c r="L48" s="25"/>
      <c r="M48" s="25"/>
      <c r="N48" s="25"/>
      <c r="O48" s="271"/>
    </row>
    <row r="49" spans="1:15" s="46" customFormat="1" x14ac:dyDescent="0.3">
      <c r="A49" s="45"/>
      <c r="B49" s="45" t="s">
        <v>91</v>
      </c>
      <c r="C49" s="186"/>
      <c r="E49" s="29"/>
      <c r="F49" s="25"/>
      <c r="H49" s="271"/>
      <c r="I49" s="25"/>
      <c r="J49" s="25"/>
      <c r="K49" s="25"/>
      <c r="L49" s="25"/>
      <c r="M49" s="25"/>
      <c r="N49" s="25"/>
      <c r="O49" s="271"/>
    </row>
    <row r="50" spans="1:15" s="46" customFormat="1" x14ac:dyDescent="0.3">
      <c r="A50" s="45"/>
      <c r="B50" s="45"/>
      <c r="C50" s="186"/>
      <c r="D50" s="335" t="str">
        <f xml:space="preserve"> Analysis!D$2</f>
        <v>Modelling period ending</v>
      </c>
      <c r="E50" s="29"/>
      <c r="F50" s="52" t="s">
        <v>92</v>
      </c>
      <c r="H50" s="271"/>
      <c r="I50" s="25"/>
      <c r="J50" s="25"/>
      <c r="K50" s="25"/>
      <c r="L50" s="25"/>
      <c r="M50" s="25"/>
      <c r="N50" s="25"/>
      <c r="O50" s="271"/>
    </row>
    <row r="51" spans="1:15" s="46" customFormat="1" x14ac:dyDescent="0.3">
      <c r="A51" s="45"/>
      <c r="B51" s="45"/>
      <c r="C51" s="186"/>
      <c r="E51" s="29"/>
      <c r="F51" s="25"/>
      <c r="H51" s="271"/>
      <c r="I51" s="25"/>
      <c r="J51" s="25"/>
      <c r="K51" s="25"/>
      <c r="L51" s="25"/>
      <c r="M51" s="25"/>
      <c r="N51" s="25"/>
      <c r="O51" s="271"/>
    </row>
    <row r="52" spans="1:15" s="46" customFormat="1" x14ac:dyDescent="0.3">
      <c r="A52" s="45"/>
      <c r="B52" s="45"/>
      <c r="C52" s="186"/>
      <c r="D52" s="16" t="s">
        <v>93</v>
      </c>
      <c r="E52" s="16"/>
      <c r="F52" s="167">
        <v>2024</v>
      </c>
      <c r="G52" s="16" t="s">
        <v>94</v>
      </c>
      <c r="H52" s="271"/>
      <c r="I52" s="25"/>
      <c r="J52" s="25"/>
      <c r="K52" s="25"/>
      <c r="L52" s="25"/>
      <c r="M52" s="25"/>
      <c r="N52" s="25"/>
      <c r="O52" s="271"/>
    </row>
    <row r="53" spans="1:15" s="46" customFormat="1" x14ac:dyDescent="0.3">
      <c r="A53" s="45"/>
      <c r="B53" s="45"/>
      <c r="C53" s="186"/>
      <c r="E53" s="29"/>
      <c r="F53" s="25"/>
      <c r="H53" s="271"/>
      <c r="I53" s="25"/>
      <c r="J53" s="25"/>
      <c r="K53" s="25"/>
      <c r="L53" s="25"/>
      <c r="M53" s="25"/>
      <c r="N53" s="25"/>
      <c r="O53" s="271"/>
    </row>
    <row r="54" spans="1:15" s="46" customFormat="1" x14ac:dyDescent="0.3">
      <c r="A54" s="45"/>
      <c r="B54" s="45"/>
      <c r="C54" s="186"/>
      <c r="D54" s="10" t="s">
        <v>95</v>
      </c>
      <c r="E54" s="29"/>
      <c r="F54" s="19">
        <f>'WestKalimant Data (IDR)'!C29*'WestKalimant Data (IDR)'!C30</f>
        <v>19945600</v>
      </c>
      <c r="G54" s="46" t="s">
        <v>332</v>
      </c>
      <c r="H54" s="271"/>
      <c r="I54" s="25"/>
      <c r="J54" s="25"/>
      <c r="K54" s="25"/>
      <c r="L54" s="25"/>
      <c r="M54" s="25"/>
      <c r="N54" s="25"/>
      <c r="O54" s="271"/>
    </row>
    <row r="55" spans="1:15" s="46" customFormat="1" x14ac:dyDescent="0.3">
      <c r="A55" s="45"/>
      <c r="B55" s="45"/>
      <c r="C55" s="186"/>
      <c r="D55" s="10" t="s">
        <v>95</v>
      </c>
      <c r="E55" s="26"/>
      <c r="F55" s="19">
        <f>F54*'Other inputs (IDR)'!F5</f>
        <v>311390707200</v>
      </c>
      <c r="G55" s="10" t="s">
        <v>388</v>
      </c>
      <c r="H55" s="271"/>
      <c r="I55" s="148">
        <v>0</v>
      </c>
      <c r="J55" s="148">
        <v>0</v>
      </c>
      <c r="K55" s="148">
        <v>0</v>
      </c>
      <c r="L55" s="148">
        <v>0</v>
      </c>
      <c r="M55" s="148">
        <v>0</v>
      </c>
      <c r="N55" s="14"/>
      <c r="O55" s="271"/>
    </row>
    <row r="56" spans="1:15" s="46" customFormat="1" x14ac:dyDescent="0.3">
      <c r="A56" s="45"/>
      <c r="B56" s="45"/>
      <c r="C56" s="186"/>
      <c r="D56" s="38" t="str">
        <f xml:space="preserve"> Analysis!D$30</f>
        <v>Betterment event occurrence flag</v>
      </c>
      <c r="E56" s="29"/>
      <c r="F56" s="25" t="s">
        <v>92</v>
      </c>
      <c r="H56" s="271"/>
      <c r="I56" s="25"/>
      <c r="J56" s="25"/>
      <c r="K56" s="25"/>
      <c r="L56" s="25"/>
      <c r="M56" s="25"/>
      <c r="N56" s="25"/>
      <c r="O56" s="271"/>
    </row>
    <row r="57" spans="1:15" s="46" customFormat="1" x14ac:dyDescent="0.3">
      <c r="A57" s="45"/>
      <c r="B57" s="45"/>
      <c r="C57" s="186"/>
      <c r="E57" s="29"/>
      <c r="F57" s="25"/>
      <c r="H57" s="271"/>
      <c r="I57" s="25"/>
      <c r="J57" s="25"/>
      <c r="K57" s="25"/>
      <c r="L57" s="25"/>
      <c r="M57" s="25"/>
      <c r="N57" s="25"/>
      <c r="O57" s="271"/>
    </row>
    <row r="58" spans="1:15" s="46" customFormat="1" x14ac:dyDescent="0.3">
      <c r="A58" s="45"/>
      <c r="B58" s="45"/>
      <c r="C58" s="186"/>
      <c r="D58" s="10" t="s">
        <v>445</v>
      </c>
      <c r="E58" s="26"/>
      <c r="F58" s="19">
        <f>Analysis!F34</f>
        <v>107999997118.92789</v>
      </c>
      <c r="G58" s="10" t="s">
        <v>388</v>
      </c>
      <c r="H58" s="271"/>
      <c r="I58" s="25"/>
      <c r="J58" s="25"/>
      <c r="K58" s="25"/>
      <c r="L58" s="25"/>
      <c r="M58" s="25"/>
      <c r="N58" s="25"/>
      <c r="O58" s="271"/>
    </row>
    <row r="59" spans="1:15" s="9" customFormat="1" x14ac:dyDescent="0.3">
      <c r="A59" s="10"/>
      <c r="B59" s="1"/>
      <c r="C59" s="173"/>
      <c r="D59" s="10" t="s">
        <v>446</v>
      </c>
      <c r="E59" s="26"/>
      <c r="F59" s="19">
        <f>'WestKalimant Data (IDR)'!C32</f>
        <v>6</v>
      </c>
      <c r="G59" s="10" t="s">
        <v>444</v>
      </c>
      <c r="H59" s="338"/>
      <c r="I59" s="148"/>
      <c r="J59" s="148"/>
      <c r="K59" s="148"/>
      <c r="L59" s="148"/>
      <c r="M59" s="148"/>
      <c r="N59" s="148"/>
      <c r="O59" s="338"/>
    </row>
    <row r="60" spans="1:15" s="46" customFormat="1" x14ac:dyDescent="0.3">
      <c r="A60" s="45"/>
      <c r="B60" s="45"/>
      <c r="C60" s="186"/>
      <c r="D60" s="38" t="str">
        <f xml:space="preserve"> Analysis!D$39</f>
        <v>Avoided road damage event occurrence flag</v>
      </c>
      <c r="E60" s="29"/>
      <c r="F60" s="52" t="s">
        <v>92</v>
      </c>
      <c r="H60" s="271"/>
      <c r="I60" s="25"/>
      <c r="J60" s="25"/>
      <c r="K60" s="25"/>
      <c r="L60" s="25"/>
      <c r="M60" s="25"/>
      <c r="N60" s="25"/>
      <c r="O60" s="271"/>
    </row>
    <row r="61" spans="1:15" s="46" customFormat="1" x14ac:dyDescent="0.3">
      <c r="A61" s="45"/>
      <c r="B61" s="45"/>
      <c r="C61" s="198"/>
      <c r="E61" s="29"/>
      <c r="F61" s="25"/>
      <c r="H61" s="271"/>
      <c r="I61" s="25"/>
      <c r="J61" s="25"/>
      <c r="K61" s="25"/>
      <c r="L61" s="25"/>
      <c r="M61" s="25"/>
      <c r="N61" s="25"/>
      <c r="O61" s="271"/>
    </row>
    <row r="62" spans="1:15" s="46" customFormat="1" x14ac:dyDescent="0.3">
      <c r="A62" s="45"/>
      <c r="B62" s="45"/>
      <c r="C62" s="186"/>
      <c r="D62" s="38" t="str">
        <f xml:space="preserve"> Analysis!D$45</f>
        <v>Non-road event occurrence</v>
      </c>
      <c r="E62" s="29"/>
      <c r="F62" s="52" t="s">
        <v>92</v>
      </c>
      <c r="H62" s="271"/>
      <c r="I62" s="25"/>
      <c r="J62" s="25"/>
      <c r="K62" s="25"/>
      <c r="L62" s="25"/>
      <c r="M62" s="25"/>
      <c r="N62" s="25"/>
      <c r="O62" s="271"/>
    </row>
    <row r="63" spans="1:15" s="46" customFormat="1" x14ac:dyDescent="0.3">
      <c r="A63" s="45"/>
      <c r="B63" s="45"/>
      <c r="C63" s="186"/>
      <c r="E63" s="29"/>
      <c r="F63" s="25"/>
      <c r="H63" s="271"/>
      <c r="I63" s="25"/>
      <c r="J63" s="25"/>
      <c r="K63" s="25"/>
      <c r="L63" s="25"/>
      <c r="M63" s="25"/>
      <c r="N63" s="25"/>
      <c r="O63" s="271"/>
    </row>
    <row r="64" spans="1:15" s="46" customFormat="1" x14ac:dyDescent="0.3">
      <c r="A64" s="45"/>
      <c r="B64" s="45"/>
      <c r="C64" s="186"/>
      <c r="D64" s="101" t="s">
        <v>96</v>
      </c>
      <c r="E64" s="16"/>
      <c r="F64" s="102">
        <v>45657</v>
      </c>
      <c r="G64" s="10" t="s">
        <v>97</v>
      </c>
      <c r="H64" s="271"/>
      <c r="I64" s="30"/>
      <c r="J64" s="25"/>
      <c r="K64" s="25"/>
      <c r="L64" s="25"/>
      <c r="M64" s="25"/>
      <c r="N64" s="25"/>
      <c r="O64" s="271"/>
    </row>
    <row r="65" spans="1:16" s="46" customFormat="1" x14ac:dyDescent="0.3">
      <c r="A65" s="45"/>
      <c r="B65" s="45"/>
      <c r="C65" s="186"/>
      <c r="D65" s="47" t="s">
        <v>98</v>
      </c>
      <c r="E65" s="16"/>
      <c r="F65" s="168">
        <v>365.25</v>
      </c>
      <c r="G65" s="46" t="s">
        <v>99</v>
      </c>
      <c r="H65" s="271"/>
      <c r="I65" s="25"/>
      <c r="J65" s="25"/>
      <c r="K65" s="25"/>
      <c r="L65" s="25"/>
      <c r="M65" s="25"/>
      <c r="N65" s="25"/>
      <c r="O65" s="271"/>
    </row>
    <row r="66" spans="1:16" s="46" customFormat="1" x14ac:dyDescent="0.3">
      <c r="A66" s="45"/>
      <c r="B66" s="45"/>
      <c r="C66" s="186"/>
      <c r="E66" s="29"/>
      <c r="F66" s="25"/>
      <c r="H66" s="271"/>
      <c r="I66" s="25"/>
      <c r="J66" s="25"/>
      <c r="K66" s="25"/>
      <c r="L66" s="25"/>
      <c r="M66" s="25"/>
      <c r="N66" s="25"/>
      <c r="O66" s="271"/>
    </row>
    <row r="67" spans="1:16" s="46" customFormat="1" x14ac:dyDescent="0.3">
      <c r="A67" s="45"/>
      <c r="B67" s="45"/>
      <c r="C67" s="186"/>
      <c r="D67" s="104" t="s">
        <v>443</v>
      </c>
      <c r="E67" s="316"/>
      <c r="F67" s="105">
        <v>0.05</v>
      </c>
      <c r="G67" s="104" t="s">
        <v>100</v>
      </c>
      <c r="H67" s="271"/>
      <c r="I67" s="30"/>
      <c r="J67" s="25"/>
      <c r="K67" s="25"/>
      <c r="L67" s="25"/>
      <c r="M67" s="25"/>
      <c r="N67" s="25"/>
      <c r="O67" s="271"/>
    </row>
    <row r="68" spans="1:16" s="46" customFormat="1" x14ac:dyDescent="0.3">
      <c r="A68" s="45"/>
      <c r="B68" s="45"/>
      <c r="C68" s="186"/>
      <c r="E68" s="29"/>
      <c r="F68" s="25"/>
      <c r="H68" s="271"/>
      <c r="I68" s="25"/>
      <c r="J68" s="25"/>
      <c r="K68" s="25"/>
      <c r="L68" s="25"/>
      <c r="M68" s="25"/>
      <c r="N68" s="25"/>
      <c r="O68" s="271"/>
    </row>
    <row r="69" spans="1:16" s="46" customFormat="1" x14ac:dyDescent="0.3">
      <c r="A69" s="45"/>
      <c r="B69" s="45"/>
      <c r="C69" s="186"/>
      <c r="E69" s="29"/>
      <c r="F69" s="25"/>
      <c r="H69" s="271"/>
      <c r="I69" s="25"/>
      <c r="J69" s="25"/>
      <c r="K69" s="25"/>
      <c r="L69" s="25"/>
      <c r="M69" s="25"/>
      <c r="N69" s="25"/>
      <c r="O69" s="271"/>
    </row>
    <row r="70" spans="1:16" s="46" customFormat="1" x14ac:dyDescent="0.3">
      <c r="A70" s="45" t="s">
        <v>101</v>
      </c>
      <c r="B70" s="45"/>
      <c r="C70" s="186"/>
      <c r="E70" s="29"/>
      <c r="F70" s="25"/>
      <c r="H70" s="271"/>
      <c r="I70" s="25"/>
      <c r="J70" s="25"/>
      <c r="K70" s="25"/>
      <c r="L70" s="25"/>
      <c r="M70" s="25"/>
      <c r="N70" s="25"/>
      <c r="O70" s="271"/>
    </row>
    <row r="71" spans="1:16" s="46" customFormat="1" x14ac:dyDescent="0.3">
      <c r="A71" s="45"/>
      <c r="B71" s="45"/>
      <c r="C71" s="186"/>
      <c r="D71" s="288" t="s">
        <v>102</v>
      </c>
      <c r="E71" s="75"/>
      <c r="F71" s="25"/>
      <c r="H71" s="271"/>
      <c r="I71" s="25"/>
      <c r="J71" s="25"/>
      <c r="K71" s="25"/>
      <c r="L71" s="25"/>
      <c r="M71" s="25"/>
      <c r="N71" s="25"/>
      <c r="O71" s="271"/>
    </row>
    <row r="72" spans="1:16" s="46" customFormat="1" x14ac:dyDescent="0.3">
      <c r="A72" s="45"/>
      <c r="B72" s="45"/>
      <c r="C72" s="186"/>
      <c r="E72" s="29"/>
      <c r="F72" s="25"/>
      <c r="H72" s="271"/>
      <c r="I72" s="25"/>
      <c r="J72" s="25"/>
      <c r="K72" s="25"/>
      <c r="L72" s="25"/>
      <c r="M72" s="25"/>
      <c r="N72" s="25"/>
      <c r="O72" s="271"/>
    </row>
    <row r="73" spans="1:16" s="8" customFormat="1" x14ac:dyDescent="0.3">
      <c r="A73" s="41"/>
      <c r="B73" s="225" t="str">
        <f xml:space="preserve"> Analysis!B$9</f>
        <v>Non-road benefits in 2024 prices</v>
      </c>
      <c r="C73" s="226"/>
      <c r="D73" s="86"/>
      <c r="E73" s="314"/>
      <c r="F73" s="346"/>
      <c r="G73" s="72"/>
      <c r="H73" s="245"/>
      <c r="I73" s="72"/>
      <c r="J73" s="72"/>
      <c r="K73" s="72"/>
      <c r="L73" s="72"/>
      <c r="M73" s="72"/>
      <c r="N73" s="72"/>
      <c r="O73" s="245"/>
    </row>
    <row r="74" spans="1:16" s="8" customFormat="1" x14ac:dyDescent="0.3">
      <c r="A74" s="41"/>
      <c r="B74" s="41"/>
      <c r="C74" s="42"/>
      <c r="D74" s="257" t="str">
        <f>'Non-road benefits calcs'!D$23</f>
        <v>1 Fuel cost</v>
      </c>
      <c r="E74" s="304"/>
      <c r="F74" s="256">
        <f>'Non-road benefits calcs'!$F$23</f>
        <v>169092518.40000001</v>
      </c>
      <c r="G74" s="256" t="str">
        <f>'Non-road benefits calcs'!G$23</f>
        <v>IDR/day</v>
      </c>
      <c r="H74" s="245"/>
      <c r="I74" s="277">
        <v>169092518.40000001</v>
      </c>
      <c r="J74" s="277">
        <v>76091633.280000001</v>
      </c>
      <c r="K74" s="277">
        <v>279002655.36000001</v>
      </c>
      <c r="L74" s="277">
        <v>169092518.40000001</v>
      </c>
      <c r="M74" s="277">
        <v>169092518.40000001</v>
      </c>
      <c r="N74" s="277"/>
      <c r="O74" s="245"/>
    </row>
    <row r="75" spans="1:16" s="8" customFormat="1" x14ac:dyDescent="0.3">
      <c r="A75" s="41"/>
      <c r="B75" s="41"/>
      <c r="C75" s="42"/>
      <c r="D75" s="257" t="str">
        <f>'Non-road benefits calcs'!D$30</f>
        <v>2 O&amp;M cost of vehicles</v>
      </c>
      <c r="E75" s="304"/>
      <c r="F75" s="256">
        <f>'Non-road benefits calcs'!$F$30</f>
        <v>98512114.895999998</v>
      </c>
      <c r="G75" s="256" t="str">
        <f>'Non-road benefits calcs'!G$30</f>
        <v>IDR/day</v>
      </c>
      <c r="H75" s="245"/>
      <c r="I75" s="277">
        <v>98512114.895999998</v>
      </c>
      <c r="J75" s="277">
        <v>44330451.703199998</v>
      </c>
      <c r="K75" s="277">
        <v>162544989.57839999</v>
      </c>
      <c r="L75" s="277">
        <v>98512114.895999998</v>
      </c>
      <c r="M75" s="277">
        <v>98512114.895999998</v>
      </c>
      <c r="N75" s="277"/>
      <c r="O75" s="245"/>
    </row>
    <row r="76" spans="1:16" s="8" customFormat="1" x14ac:dyDescent="0.3">
      <c r="A76" s="41"/>
      <c r="B76" s="41"/>
      <c r="C76" s="42"/>
      <c r="D76" s="257" t="str">
        <f>'Non-road benefits calcs'!D$51</f>
        <v>3 O&amp;M cost of roads</v>
      </c>
      <c r="E76" s="304"/>
      <c r="F76" s="256">
        <f>'Non-road benefits calcs'!$F$51</f>
        <v>960723.64247671235</v>
      </c>
      <c r="G76" s="256" t="str">
        <f>'Non-road benefits calcs'!G$51</f>
        <v>IDR/day</v>
      </c>
      <c r="H76" s="245"/>
      <c r="I76" s="277">
        <v>960723.64247671235</v>
      </c>
      <c r="J76" s="377">
        <v>864651.27822904114</v>
      </c>
      <c r="K76" s="277">
        <v>1056796.0067243837</v>
      </c>
      <c r="L76" s="277">
        <v>960723.64247671235</v>
      </c>
      <c r="M76" s="277">
        <v>960723.64247671235</v>
      </c>
      <c r="N76" s="277"/>
      <c r="O76" s="245"/>
    </row>
    <row r="77" spans="1:16" s="8" customFormat="1" x14ac:dyDescent="0.3">
      <c r="A77" s="41"/>
      <c r="B77" s="41"/>
      <c r="C77" s="42"/>
      <c r="D77" s="257" t="str">
        <f>'Non-road benefits calcs'!D$61</f>
        <v>4 Cost of travel time</v>
      </c>
      <c r="E77" s="304"/>
      <c r="F77" s="256">
        <f>'Non-road benefits calcs'!$F$61</f>
        <v>1068856446.6216002</v>
      </c>
      <c r="G77" s="256" t="str">
        <f>'Non-road benefits calcs'!G$61</f>
        <v>IDR/day</v>
      </c>
      <c r="H77" s="245"/>
      <c r="I77" s="277">
        <v>1068856446.6216002</v>
      </c>
      <c r="J77" s="377">
        <v>480985400.97972006</v>
      </c>
      <c r="K77" s="277">
        <v>1763613136.9256403</v>
      </c>
      <c r="L77" s="277">
        <v>1068856446.6216002</v>
      </c>
      <c r="M77" s="277">
        <v>0</v>
      </c>
      <c r="N77" s="277"/>
      <c r="O77" s="245"/>
    </row>
    <row r="78" spans="1:16" s="8" customFormat="1" x14ac:dyDescent="0.3">
      <c r="A78" s="41"/>
      <c r="B78" s="41"/>
      <c r="C78" s="42"/>
      <c r="D78" s="257" t="str">
        <f>'Non-road benefits calcs'!D$81</f>
        <v>5 Air pollution</v>
      </c>
      <c r="E78" s="318"/>
      <c r="F78" s="257">
        <f>'Non-road benefits calcs'!$F$81</f>
        <v>3289579478.9028602</v>
      </c>
      <c r="G78" s="257" t="str">
        <f>'Non-road benefits calcs'!G$81</f>
        <v>IDR/day</v>
      </c>
      <c r="H78" s="245"/>
      <c r="I78" s="277">
        <v>3289579478.9028602</v>
      </c>
      <c r="J78" s="377">
        <v>2124752529.9495771</v>
      </c>
      <c r="K78" s="277">
        <v>4786144606.5446053</v>
      </c>
      <c r="L78" s="277">
        <v>3289579478.9028602</v>
      </c>
      <c r="M78" s="277">
        <v>0</v>
      </c>
      <c r="N78" s="277"/>
      <c r="O78" s="245"/>
      <c r="P78" s="92"/>
    </row>
    <row r="79" spans="1:16" s="8" customFormat="1" x14ac:dyDescent="0.3">
      <c r="A79" s="41"/>
      <c r="B79" s="41"/>
      <c r="C79" s="42"/>
      <c r="D79" s="257" t="str">
        <f xml:space="preserve"> 'Non-road benefits calcs'!D$101</f>
        <v>6 Noise pollution</v>
      </c>
      <c r="E79" s="318"/>
      <c r="F79" s="257">
        <f xml:space="preserve"> 'Non-road benefits calcs'!$F$101</f>
        <v>565158530.26308024</v>
      </c>
      <c r="G79" s="257" t="str">
        <f xml:space="preserve"> 'Non-road benefits calcs'!G$101</f>
        <v>IDR/day</v>
      </c>
      <c r="H79" s="245"/>
      <c r="I79" s="277">
        <v>565158530.26308024</v>
      </c>
      <c r="J79" s="377">
        <v>363996791.64544821</v>
      </c>
      <c r="K79" s="277">
        <v>823733676.73162818</v>
      </c>
      <c r="L79" s="277">
        <v>565158530.26308024</v>
      </c>
      <c r="M79" s="277">
        <v>0</v>
      </c>
      <c r="N79" s="277"/>
      <c r="O79" s="245"/>
    </row>
    <row r="80" spans="1:16" s="8" customFormat="1" x14ac:dyDescent="0.3">
      <c r="A80" s="41"/>
      <c r="B80" s="41"/>
      <c r="C80" s="42"/>
      <c r="D80" s="257" t="str">
        <f xml:space="preserve"> 'Non-road benefits calcs'!D$121</f>
        <v>7 Water pollution</v>
      </c>
      <c r="E80" s="318"/>
      <c r="F80" s="257">
        <f xml:space="preserve"> 'Non-road benefits calcs'!$F$121</f>
        <v>493436237.72351998</v>
      </c>
      <c r="G80" s="257" t="str">
        <f xml:space="preserve"> 'Non-road benefits calcs'!G$121</f>
        <v>IDR/day</v>
      </c>
      <c r="H80" s="245"/>
      <c r="I80" s="277">
        <v>493436237.72351998</v>
      </c>
      <c r="J80" s="377">
        <v>318715150.74397445</v>
      </c>
      <c r="K80" s="277">
        <v>717916888.51608968</v>
      </c>
      <c r="L80" s="277">
        <v>493436237.72351998</v>
      </c>
      <c r="M80" s="277">
        <v>0</v>
      </c>
      <c r="N80" s="277"/>
      <c r="O80" s="245"/>
    </row>
    <row r="81" spans="1:15" s="8" customFormat="1" x14ac:dyDescent="0.3">
      <c r="A81" s="41"/>
      <c r="B81" s="41"/>
      <c r="C81" s="42"/>
      <c r="D81" s="257" t="str">
        <f xml:space="preserve"> 'Non-road benefits calcs'!D$141</f>
        <v>8 GHG emissions</v>
      </c>
      <c r="E81" s="318"/>
      <c r="F81" s="257">
        <f xml:space="preserve"> 'Non-road benefits calcs'!$F$141</f>
        <v>2075595531.9060001</v>
      </c>
      <c r="G81" s="257" t="str">
        <f xml:space="preserve"> 'Non-road benefits calcs'!G$141</f>
        <v>IDR/day</v>
      </c>
      <c r="H81" s="245"/>
      <c r="I81" s="277">
        <v>2075595531.9060001</v>
      </c>
      <c r="J81" s="377">
        <v>1500893640.5123703</v>
      </c>
      <c r="K81" s="277">
        <v>2776584481.7010307</v>
      </c>
      <c r="L81" s="277">
        <v>2075595531.9060001</v>
      </c>
      <c r="M81" s="277">
        <v>0</v>
      </c>
      <c r="N81" s="277"/>
      <c r="O81" s="245"/>
    </row>
    <row r="82" spans="1:15" s="8" customFormat="1" x14ac:dyDescent="0.3">
      <c r="A82" s="41"/>
      <c r="B82" s="41"/>
      <c r="C82" s="42"/>
      <c r="D82" s="257" t="str">
        <f xml:space="preserve"> 'Non-road benefits calcs'!D$161</f>
        <v>9 Nature and landscape</v>
      </c>
      <c r="E82" s="318"/>
      <c r="F82" s="257">
        <f xml:space="preserve"> 'Non-road benefits calcs'!$F$161</f>
        <v>363400246.06080002</v>
      </c>
      <c r="G82" s="257" t="str">
        <f xml:space="preserve"> 'Non-road benefits calcs'!G$161</f>
        <v>IDR/day</v>
      </c>
      <c r="H82" s="245"/>
      <c r="I82" s="277">
        <v>363400246.06080002</v>
      </c>
      <c r="J82" s="277">
        <v>235347631.64465281</v>
      </c>
      <c r="K82" s="277">
        <v>527847614.03574717</v>
      </c>
      <c r="L82" s="277">
        <v>363400246.06080002</v>
      </c>
      <c r="M82" s="277">
        <v>0</v>
      </c>
      <c r="N82" s="277"/>
      <c r="O82" s="245"/>
    </row>
    <row r="83" spans="1:15" s="8" customFormat="1" x14ac:dyDescent="0.3">
      <c r="A83" s="41"/>
      <c r="B83" s="41"/>
      <c r="C83" s="42"/>
      <c r="D83" s="257" t="str">
        <f>'Non-road benefits calcs'!D$173</f>
        <v>10 Crop and fruit revenue</v>
      </c>
      <c r="E83" s="304"/>
      <c r="F83" s="256">
        <f>'Non-road benefits calcs'!$F$173</f>
        <v>4760628710.3100004</v>
      </c>
      <c r="G83" s="256" t="str">
        <f>'Non-road benefits calcs'!G$173</f>
        <v>IDR/day</v>
      </c>
      <c r="H83" s="245"/>
      <c r="I83" s="277">
        <v>4760628710.3100004</v>
      </c>
      <c r="J83" s="277">
        <v>3856109255.3511009</v>
      </c>
      <c r="K83" s="277">
        <v>5760360739.4751015</v>
      </c>
      <c r="L83" s="277">
        <v>5918225135.6470928</v>
      </c>
      <c r="M83" s="277">
        <v>4760628710.3100004</v>
      </c>
      <c r="N83" s="277"/>
      <c r="O83" s="245"/>
    </row>
    <row r="84" spans="1:15" s="8" customFormat="1" x14ac:dyDescent="0.3">
      <c r="A84" s="41"/>
      <c r="B84" s="41"/>
      <c r="C84" s="42"/>
      <c r="D84" s="257" t="str">
        <f>'Non-road benefits calcs'!D$180</f>
        <v xml:space="preserve">11 Fish revenue </v>
      </c>
      <c r="E84" s="304"/>
      <c r="F84" s="256">
        <f>'Non-road benefits calcs'!$F$180</f>
        <v>1561200</v>
      </c>
      <c r="G84" s="256" t="str">
        <f>'Non-road benefits calcs'!G$180</f>
        <v>IDR/day</v>
      </c>
      <c r="H84" s="245"/>
      <c r="I84" s="277">
        <v>1561200</v>
      </c>
      <c r="J84" s="277">
        <v>1264572</v>
      </c>
      <c r="K84" s="277">
        <v>1889052.0000000005</v>
      </c>
      <c r="L84" s="277">
        <v>1561200</v>
      </c>
      <c r="M84" s="277">
        <v>1561200</v>
      </c>
      <c r="N84" s="277"/>
      <c r="O84" s="245"/>
    </row>
    <row r="85" spans="1:15" s="8" customFormat="1" x14ac:dyDescent="0.3">
      <c r="A85" s="41"/>
      <c r="B85" s="41"/>
      <c r="C85" s="42"/>
      <c r="D85" s="257" t="str">
        <f>'Non-road benefits calcs'!D$212</f>
        <v xml:space="preserve">12 Livestock revenue </v>
      </c>
      <c r="E85" s="304"/>
      <c r="F85" s="256">
        <f>'Non-road benefits calcs'!$F$212</f>
        <v>59689803.336519353</v>
      </c>
      <c r="G85" s="256" t="str">
        <f>'Non-road benefits calcs'!G$212</f>
        <v>IDR/day</v>
      </c>
      <c r="H85" s="245"/>
      <c r="I85" s="277">
        <v>59689803.336519353</v>
      </c>
      <c r="J85" s="277">
        <v>48348740.702580683</v>
      </c>
      <c r="K85" s="277">
        <v>72224662.037188426</v>
      </c>
      <c r="L85" s="277">
        <v>98739252.801852584</v>
      </c>
      <c r="M85" s="277">
        <v>59689803.336519353</v>
      </c>
      <c r="N85" s="277"/>
      <c r="O85" s="245"/>
    </row>
    <row r="86" spans="1:15" s="8" customFormat="1" x14ac:dyDescent="0.3">
      <c r="A86" s="41"/>
      <c r="B86" s="41"/>
      <c r="C86" s="42"/>
      <c r="D86" s="257" t="str">
        <f>'Non-road benefits calcs'!D$218</f>
        <v>13 Access to essential items/services</v>
      </c>
      <c r="E86" s="304"/>
      <c r="F86" s="256">
        <f>'Non-road benefits calcs'!$F$218</f>
        <v>515921500</v>
      </c>
      <c r="G86" s="256" t="str">
        <f>'Non-road benefits calcs'!G$218</f>
        <v>IDR/day</v>
      </c>
      <c r="H86" s="245"/>
      <c r="I86" s="277">
        <v>515921500</v>
      </c>
      <c r="J86" s="277">
        <v>257960750</v>
      </c>
      <c r="K86" s="277">
        <v>773882250</v>
      </c>
      <c r="L86" s="277">
        <v>515921500</v>
      </c>
      <c r="M86" s="277">
        <v>0</v>
      </c>
      <c r="N86" s="277"/>
      <c r="O86" s="245"/>
    </row>
    <row r="87" spans="1:15" s="8" customFormat="1" x14ac:dyDescent="0.3">
      <c r="A87" s="41"/>
      <c r="B87" s="41"/>
      <c r="C87" s="42"/>
      <c r="D87" s="257" t="str">
        <f>'Non-road benefits calcs'!D$228</f>
        <v xml:space="preserve">14 Access to workplace and schools </v>
      </c>
      <c r="E87" s="304"/>
      <c r="F87" s="256">
        <f>'Non-road benefits calcs'!$F$228</f>
        <v>615668843.83561659</v>
      </c>
      <c r="G87" s="256" t="str">
        <f>'Non-road benefits calcs'!G$228</f>
        <v>IDR/day</v>
      </c>
      <c r="H87" s="245"/>
      <c r="I87" s="277">
        <v>615668843.83561659</v>
      </c>
      <c r="J87" s="277">
        <v>277050979.72602749</v>
      </c>
      <c r="K87" s="277">
        <v>1015853592.3287674</v>
      </c>
      <c r="L87" s="277">
        <v>615668843.83561659</v>
      </c>
      <c r="M87" s="277">
        <v>0</v>
      </c>
      <c r="N87" s="277"/>
      <c r="O87" s="245"/>
    </row>
    <row r="88" spans="1:15" s="8" customFormat="1" x14ac:dyDescent="0.3">
      <c r="A88" s="41"/>
      <c r="B88" s="41"/>
      <c r="C88" s="42"/>
      <c r="D88" s="257" t="str">
        <f>'Non-road benefits calcs'!D$237</f>
        <v xml:space="preserve">15 Mental health </v>
      </c>
      <c r="E88" s="304"/>
      <c r="F88" s="256">
        <f>'Non-road benefits calcs'!$F$237</f>
        <v>6092114.1506849322</v>
      </c>
      <c r="G88" s="256" t="str">
        <f>'Non-road benefits calcs'!G$237</f>
        <v>IDR/day</v>
      </c>
      <c r="H88" s="245"/>
      <c r="I88" s="277">
        <v>6092114.1506849322</v>
      </c>
      <c r="J88" s="277">
        <v>3046057.0753424661</v>
      </c>
      <c r="K88" s="277">
        <v>9138171.2260273974</v>
      </c>
      <c r="L88" s="277">
        <v>6092114.1506849322</v>
      </c>
      <c r="M88" s="277">
        <v>0</v>
      </c>
      <c r="N88" s="277"/>
      <c r="O88" s="245"/>
    </row>
    <row r="89" spans="1:15" s="8" customFormat="1" x14ac:dyDescent="0.3">
      <c r="A89" s="41"/>
      <c r="B89" s="41"/>
      <c r="C89" s="42"/>
      <c r="D89" s="210" t="str">
        <f xml:space="preserve"> Analysis!D$25</f>
        <v>Non-road benefits in 2024 prices</v>
      </c>
      <c r="E89" s="315"/>
      <c r="F89" s="374">
        <f xml:space="preserve"> Analysis!F$25</f>
        <v>14084154000.049158</v>
      </c>
      <c r="G89" s="237" t="str">
        <f xml:space="preserve"> Analysis!G$25</f>
        <v>IDR/day</v>
      </c>
      <c r="H89" s="245"/>
      <c r="I89" s="231">
        <v>14084154000.049158</v>
      </c>
      <c r="J89" s="231">
        <v>9589758236.5922222</v>
      </c>
      <c r="K89" s="231">
        <v>19471793312.466953</v>
      </c>
      <c r="L89" s="231">
        <v>15280799874.851585</v>
      </c>
      <c r="M89" s="231">
        <v>5090445070.5849962</v>
      </c>
      <c r="N89" s="231"/>
      <c r="O89" s="245"/>
    </row>
    <row r="90" spans="1:15" x14ac:dyDescent="0.3">
      <c r="D90" s="4"/>
      <c r="I90" s="5"/>
      <c r="J90" s="5"/>
      <c r="K90" s="5"/>
      <c r="L90" s="5"/>
      <c r="M90" s="5"/>
      <c r="N90" s="5"/>
    </row>
    <row r="91" spans="1:15" x14ac:dyDescent="0.3">
      <c r="B91" s="1" t="str">
        <f xml:space="preserve"> Analysis!B48</f>
        <v>Value Statement in 2024 prices</v>
      </c>
      <c r="D91" s="4"/>
      <c r="F91" s="221"/>
      <c r="I91" s="278"/>
      <c r="J91" s="278"/>
      <c r="K91" s="278"/>
      <c r="L91" s="278"/>
      <c r="M91" s="278"/>
      <c r="N91" s="278"/>
    </row>
    <row r="92" spans="1:15" s="8" customFormat="1" x14ac:dyDescent="0.3">
      <c r="A92" s="41"/>
      <c r="B92" s="41"/>
      <c r="C92" s="42"/>
      <c r="D92" s="19" t="str">
        <f xml:space="preserve"> Analysis!D$49</f>
        <v>Betterment cost</v>
      </c>
      <c r="E92" s="314"/>
      <c r="F92" s="19">
        <f xml:space="preserve"> Analysis!H$49</f>
        <v>-311390707200</v>
      </c>
      <c r="G92" s="8" t="str">
        <f xml:space="preserve"> Analysis!G$49</f>
        <v>IDR</v>
      </c>
      <c r="H92" s="245"/>
      <c r="I92" s="169">
        <v>-311390707200</v>
      </c>
      <c r="J92" s="169">
        <v>-311390707200</v>
      </c>
      <c r="K92" s="169">
        <v>-311390707200</v>
      </c>
      <c r="L92" s="169">
        <v>-311390707200</v>
      </c>
      <c r="M92" s="169">
        <v>-311390707200</v>
      </c>
      <c r="N92" s="169"/>
      <c r="O92" s="245"/>
    </row>
    <row r="93" spans="1:15" s="8" customFormat="1" x14ac:dyDescent="0.3">
      <c r="A93" s="41"/>
      <c r="B93" s="41"/>
      <c r="C93" s="42"/>
      <c r="D93" s="19" t="str">
        <f xml:space="preserve"> Analysis!D$50</f>
        <v>Avoided road damage benefit</v>
      </c>
      <c r="E93" s="314"/>
      <c r="F93" s="19">
        <f xml:space="preserve"> Analysis!H$50</f>
        <v>107999997118.92783</v>
      </c>
      <c r="G93" s="8" t="str">
        <f xml:space="preserve"> Analysis!G$50</f>
        <v>IDR</v>
      </c>
      <c r="H93" s="245"/>
      <c r="I93" s="169">
        <v>107999997118.92783</v>
      </c>
      <c r="J93" s="169">
        <v>107999997118.92783</v>
      </c>
      <c r="K93" s="169">
        <v>107999997118.92783</v>
      </c>
      <c r="L93" s="169">
        <v>107999997118.92783</v>
      </c>
      <c r="M93" s="169">
        <v>107999997118.92783</v>
      </c>
      <c r="N93" s="169"/>
      <c r="O93" s="245"/>
    </row>
    <row r="94" spans="1:15" s="8" customFormat="1" x14ac:dyDescent="0.3">
      <c r="A94" s="41"/>
      <c r="B94" s="41"/>
      <c r="C94" s="42"/>
      <c r="D94" s="210" t="str">
        <f xml:space="preserve"> Analysis!D$51</f>
        <v>Net benefits excl. non-road benefits</v>
      </c>
      <c r="E94" s="315"/>
      <c r="F94" s="210">
        <f xml:space="preserve"> Analysis!H$51</f>
        <v>-203390710081.07227</v>
      </c>
      <c r="G94" s="237" t="str">
        <f xml:space="preserve"> Analysis!G$51</f>
        <v>IDR</v>
      </c>
      <c r="H94" s="245"/>
      <c r="I94" s="231">
        <v>-203390710081.07227</v>
      </c>
      <c r="J94" s="231">
        <v>-203390710081.07227</v>
      </c>
      <c r="K94" s="231">
        <v>-203390710081.07227</v>
      </c>
      <c r="L94" s="231">
        <v>-203390710081.07227</v>
      </c>
      <c r="M94" s="231">
        <v>-203390710081.07227</v>
      </c>
      <c r="N94" s="231"/>
      <c r="O94" s="245"/>
    </row>
    <row r="95" spans="1:15" s="8" customFormat="1" x14ac:dyDescent="0.3">
      <c r="A95" s="41"/>
      <c r="B95" s="41"/>
      <c r="C95" s="42"/>
      <c r="D95" s="19"/>
      <c r="E95" s="314"/>
      <c r="F95" s="19"/>
      <c r="H95" s="245"/>
      <c r="I95" s="169"/>
      <c r="J95" s="169"/>
      <c r="K95" s="169"/>
      <c r="L95" s="169"/>
      <c r="M95" s="169"/>
      <c r="N95" s="169"/>
      <c r="O95" s="245"/>
    </row>
    <row r="96" spans="1:15" s="8" customFormat="1" x14ac:dyDescent="0.3">
      <c r="A96" s="41"/>
      <c r="B96" s="41"/>
      <c r="C96" s="42"/>
      <c r="D96" s="19" t="str">
        <f xml:space="preserve"> Analysis!D$53</f>
        <v>Non-road benefits</v>
      </c>
      <c r="E96" s="314"/>
      <c r="F96" s="19">
        <f xml:space="preserve"> Analysis!H$53</f>
        <v>1774603356665.8196</v>
      </c>
      <c r="G96" s="8" t="str">
        <f xml:space="preserve"> Analysis!G$53</f>
        <v>IDR</v>
      </c>
      <c r="H96" s="245"/>
      <c r="I96" s="169">
        <v>1774603356665.8196</v>
      </c>
      <c r="J96" s="169">
        <v>1208309505577.0374</v>
      </c>
      <c r="K96" s="169">
        <v>2453445891921.2549</v>
      </c>
      <c r="L96" s="169">
        <v>1925380732868.698</v>
      </c>
      <c r="M96" s="169">
        <v>641396061783.4469</v>
      </c>
      <c r="N96" s="169"/>
      <c r="O96" s="245"/>
    </row>
    <row r="97" spans="1:15" s="8" customFormat="1" x14ac:dyDescent="0.3">
      <c r="A97" s="41"/>
      <c r="B97" s="41"/>
      <c r="C97" s="42"/>
      <c r="D97" s="210" t="str">
        <f xml:space="preserve"> Analysis!D$54</f>
        <v>Net benefits incl. non-road benefits</v>
      </c>
      <c r="E97" s="315"/>
      <c r="F97" s="210">
        <f xml:space="preserve"> Analysis!H$54</f>
        <v>1571212646584.7476</v>
      </c>
      <c r="G97" s="237" t="str">
        <f xml:space="preserve"> Analysis!G$54</f>
        <v>IDR</v>
      </c>
      <c r="H97" s="245"/>
      <c r="I97" s="231">
        <v>1571212646584.7476</v>
      </c>
      <c r="J97" s="231">
        <v>1004918795495.9653</v>
      </c>
      <c r="K97" s="231">
        <v>2250055181840.1836</v>
      </c>
      <c r="L97" s="231">
        <v>1721990022787.6274</v>
      </c>
      <c r="M97" s="231">
        <v>438005351702.37482</v>
      </c>
      <c r="N97" s="231"/>
      <c r="O97" s="245"/>
    </row>
    <row r="98" spans="1:15" x14ac:dyDescent="0.3">
      <c r="D98" s="4"/>
      <c r="F98" s="221"/>
      <c r="I98" s="278"/>
      <c r="J98" s="278"/>
      <c r="K98" s="278"/>
      <c r="L98" s="278"/>
      <c r="M98" s="278"/>
      <c r="N98" s="278"/>
    </row>
    <row r="99" spans="1:15" x14ac:dyDescent="0.3">
      <c r="B99" s="1" t="s">
        <v>103</v>
      </c>
      <c r="D99" s="4"/>
      <c r="I99" s="5"/>
      <c r="J99" s="5"/>
      <c r="K99" s="5"/>
      <c r="L99" s="5"/>
      <c r="M99" s="5"/>
      <c r="N99" s="5"/>
    </row>
    <row r="100" spans="1:15" s="8" customFormat="1" x14ac:dyDescent="0.3">
      <c r="A100" s="41"/>
      <c r="B100" s="41"/>
      <c r="C100" s="42"/>
      <c r="D100" s="236" t="str">
        <f xml:space="preserve"> D$59</f>
        <v xml:space="preserve">Number of past occurrences </v>
      </c>
      <c r="E100" s="311">
        <f xml:space="preserve"> E$59</f>
        <v>0</v>
      </c>
      <c r="F100" s="235">
        <f xml:space="preserve"> F$59</f>
        <v>6</v>
      </c>
      <c r="G100" s="235" t="str">
        <f xml:space="preserve"> G$59</f>
        <v xml:space="preserve">occurrences </v>
      </c>
      <c r="H100" s="245"/>
      <c r="I100" s="169">
        <v>6</v>
      </c>
      <c r="J100" s="169">
        <v>6</v>
      </c>
      <c r="K100" s="169">
        <v>6</v>
      </c>
      <c r="L100" s="169">
        <v>6</v>
      </c>
      <c r="M100" s="169">
        <v>6</v>
      </c>
      <c r="N100" s="169"/>
      <c r="O100" s="245"/>
    </row>
    <row r="101" spans="1:15" s="8" customFormat="1" x14ac:dyDescent="0.3">
      <c r="A101" s="41"/>
      <c r="B101" s="41"/>
      <c r="C101" s="42"/>
      <c r="D101" s="19" t="str">
        <f xml:space="preserve"> Analysis!D$39</f>
        <v>Avoided road damage event occurrence flag</v>
      </c>
      <c r="E101" s="314"/>
      <c r="F101" s="8">
        <f xml:space="preserve"> Analysis!H$39</f>
        <v>17.999999519821316</v>
      </c>
      <c r="G101" s="8" t="str">
        <f xml:space="preserve"> Analysis!G$39</f>
        <v>flag</v>
      </c>
      <c r="H101" s="245"/>
      <c r="I101" s="169">
        <v>17.999999519821316</v>
      </c>
      <c r="J101" s="169">
        <v>17.999999519821316</v>
      </c>
      <c r="K101" s="169">
        <v>17.999999519821316</v>
      </c>
      <c r="L101" s="169">
        <v>17.999999519821316</v>
      </c>
      <c r="M101" s="169">
        <v>17.999999519821316</v>
      </c>
      <c r="N101" s="169"/>
      <c r="O101" s="245"/>
    </row>
    <row r="102" spans="1:15" s="8" customFormat="1" x14ac:dyDescent="0.3">
      <c r="A102" s="41"/>
      <c r="B102" s="41"/>
      <c r="C102" s="42"/>
      <c r="D102" s="19" t="str">
        <f xml:space="preserve"> Analysis!D$45</f>
        <v>Non-road event occurrence</v>
      </c>
      <c r="E102" s="314"/>
      <c r="F102" s="8">
        <f xml:space="preserve"> Analysis!H$45</f>
        <v>17.999999519821316</v>
      </c>
      <c r="G102" s="8" t="str">
        <f xml:space="preserve"> Analysis!G$45</f>
        <v>events</v>
      </c>
      <c r="H102" s="245"/>
      <c r="I102" s="169">
        <v>17.999999519821316</v>
      </c>
      <c r="J102" s="169">
        <v>17.999999519821316</v>
      </c>
      <c r="K102" s="169">
        <v>17.999999519821316</v>
      </c>
      <c r="L102" s="169">
        <v>17.999999519821316</v>
      </c>
      <c r="M102" s="169">
        <v>17.999999519821316</v>
      </c>
      <c r="N102" s="169"/>
      <c r="O102" s="245"/>
    </row>
    <row r="103" spans="1:15" s="8" customFormat="1" x14ac:dyDescent="0.3">
      <c r="A103" s="41"/>
      <c r="B103" s="41"/>
      <c r="C103" s="42"/>
      <c r="D103" s="19"/>
      <c r="E103" s="314"/>
      <c r="H103" s="245"/>
      <c r="I103" s="169"/>
      <c r="J103" s="169"/>
      <c r="K103" s="169"/>
      <c r="L103" s="169"/>
      <c r="M103" s="169"/>
      <c r="N103" s="169"/>
      <c r="O103" s="245"/>
    </row>
    <row r="104" spans="1:15" s="8" customFormat="1" x14ac:dyDescent="0.3">
      <c r="A104" s="41"/>
      <c r="B104" s="41" t="s">
        <v>104</v>
      </c>
      <c r="C104" s="42"/>
      <c r="D104" s="19"/>
      <c r="E104" s="314"/>
      <c r="F104" s="258"/>
      <c r="G104" s="258"/>
      <c r="H104" s="245"/>
      <c r="I104" s="279"/>
      <c r="J104" s="279"/>
      <c r="K104" s="279"/>
      <c r="L104" s="279"/>
      <c r="M104" s="279"/>
      <c r="N104" s="279"/>
      <c r="O104" s="245"/>
    </row>
    <row r="105" spans="1:15" s="72" customFormat="1" x14ac:dyDescent="0.3">
      <c r="A105" s="225"/>
      <c r="B105" s="225"/>
      <c r="C105" s="226"/>
      <c r="D105" s="232" t="str">
        <f xml:space="preserve"> Analysis!D$59</f>
        <v>BCR excl. non-road benefits</v>
      </c>
      <c r="E105" s="29"/>
      <c r="F105" s="232">
        <f xml:space="preserve"> Analysis!F$59</f>
        <v>0.34683115013307575</v>
      </c>
      <c r="G105" s="232" t="str">
        <f xml:space="preserve"> Analysis!G$59</f>
        <v>ratio</v>
      </c>
      <c r="H105" s="274"/>
      <c r="I105" s="228">
        <v>0.34683115013307575</v>
      </c>
      <c r="J105" s="228">
        <v>0.34683115013307575</v>
      </c>
      <c r="K105" s="228">
        <v>0.34683115013307575</v>
      </c>
      <c r="L105" s="228">
        <v>0.34683115013307575</v>
      </c>
      <c r="M105" s="228">
        <v>0.34683115013307575</v>
      </c>
      <c r="N105" s="228"/>
      <c r="O105" s="274"/>
    </row>
    <row r="106" spans="1:15" s="86" customFormat="1" x14ac:dyDescent="0.3">
      <c r="A106" s="97"/>
      <c r="B106" s="97"/>
      <c r="C106" s="194"/>
      <c r="D106" s="232" t="str">
        <f xml:space="preserve"> Analysis!D$66</f>
        <v>BCR incl. non-road benefits</v>
      </c>
      <c r="E106" s="29"/>
      <c r="F106" s="232">
        <f xml:space="preserve"> Analysis!F$66</f>
        <v>6.045791702369554</v>
      </c>
      <c r="G106" s="232" t="str">
        <f xml:space="preserve"> Analysis!G$66</f>
        <v>ratio</v>
      </c>
      <c r="H106" s="274"/>
      <c r="I106" s="228">
        <v>6.045791702369554</v>
      </c>
      <c r="J106" s="228">
        <v>4.2271958419443969</v>
      </c>
      <c r="K106" s="228">
        <v>8.2258263648022663</v>
      </c>
      <c r="L106" s="228">
        <v>6.5299981116058996</v>
      </c>
      <c r="M106" s="228">
        <v>2.4066102217400234</v>
      </c>
      <c r="N106" s="228"/>
      <c r="O106" s="274"/>
    </row>
    <row r="107" spans="1:15" s="86" customFormat="1" x14ac:dyDescent="0.3">
      <c r="A107" s="97"/>
      <c r="B107" s="97"/>
      <c r="C107" s="194"/>
      <c r="E107" s="29"/>
      <c r="H107" s="274"/>
      <c r="I107" s="227"/>
      <c r="J107" s="227"/>
      <c r="K107" s="227"/>
      <c r="L107" s="227"/>
      <c r="M107" s="227"/>
      <c r="N107" s="227"/>
      <c r="O107" s="274"/>
    </row>
    <row r="108" spans="1:15" s="8" customFormat="1" x14ac:dyDescent="0.3">
      <c r="A108" s="41"/>
      <c r="B108" s="41"/>
      <c r="C108" s="42"/>
      <c r="D108" s="233" t="str">
        <f xml:space="preserve"> Analysis!D$70</f>
        <v>IRR excl. non-road benefits</v>
      </c>
      <c r="E108" s="29"/>
      <c r="F108" s="233" t="e">
        <f xml:space="preserve"> Analysis!F$70</f>
        <v>#NUM!</v>
      </c>
      <c r="G108" s="233" t="str">
        <f xml:space="preserve"> Analysis!G$70</f>
        <v>% p.a. real</v>
      </c>
      <c r="H108" s="245"/>
      <c r="I108" s="229" t="e">
        <v>#NUM!</v>
      </c>
      <c r="J108" s="229" t="e">
        <v>#NUM!</v>
      </c>
      <c r="K108" s="229" t="e">
        <v>#NUM!</v>
      </c>
      <c r="L108" s="229" t="e">
        <v>#NUM!</v>
      </c>
      <c r="M108" s="229" t="e">
        <v>#NUM!</v>
      </c>
      <c r="N108" s="229"/>
      <c r="O108" s="245"/>
    </row>
    <row r="109" spans="1:15" s="8" customFormat="1" x14ac:dyDescent="0.3">
      <c r="A109" s="41"/>
      <c r="B109" s="41"/>
      <c r="C109" s="42"/>
      <c r="D109" s="233" t="str">
        <f xml:space="preserve"> Analysis!D$73</f>
        <v>IRR incl. non-road benefits</v>
      </c>
      <c r="E109" s="29"/>
      <c r="F109" s="233">
        <f xml:space="preserve"> Analysis!F$73</f>
        <v>0.69547641108877856</v>
      </c>
      <c r="G109" s="233" t="str">
        <f xml:space="preserve"> Analysis!G$73</f>
        <v>% p.a. real</v>
      </c>
      <c r="H109" s="245"/>
      <c r="I109" s="229">
        <v>0.69547641108877856</v>
      </c>
      <c r="J109" s="229">
        <v>0.36220568401670028</v>
      </c>
      <c r="K109" s="229">
        <v>1.3112801348037046</v>
      </c>
      <c r="L109" s="229">
        <v>0.80861607894906262</v>
      </c>
      <c r="M109" s="229">
        <v>0.13936203989459917</v>
      </c>
      <c r="N109" s="229"/>
      <c r="O109" s="245"/>
    </row>
    <row r="110" spans="1:15" s="8" customFormat="1" x14ac:dyDescent="0.3">
      <c r="A110" s="41"/>
      <c r="B110" s="41"/>
      <c r="C110" s="42"/>
      <c r="D110" s="234"/>
      <c r="E110" s="29"/>
      <c r="F110" s="234"/>
      <c r="G110" s="234"/>
      <c r="H110" s="245"/>
      <c r="I110" s="230"/>
      <c r="J110" s="230"/>
      <c r="K110" s="230"/>
      <c r="L110" s="230"/>
      <c r="M110" s="230"/>
      <c r="N110" s="230"/>
      <c r="O110" s="245"/>
    </row>
    <row r="111" spans="1:15" s="8" customFormat="1" x14ac:dyDescent="0.3">
      <c r="A111" s="41"/>
      <c r="B111" s="41"/>
      <c r="C111" s="42"/>
      <c r="D111" s="19" t="str">
        <f xml:space="preserve"> Analysis!D$88</f>
        <v>NPV excl. non-road benefits</v>
      </c>
      <c r="E111" s="29"/>
      <c r="F111" s="19">
        <f xml:space="preserve"> Analysis!F$88</f>
        <v>-239168041921.18118</v>
      </c>
      <c r="G111" s="19" t="str">
        <f xml:space="preserve"> Analysis!G$88</f>
        <v>IDR</v>
      </c>
      <c r="H111" s="245"/>
      <c r="I111" s="169">
        <v>-239168041921.18118</v>
      </c>
      <c r="J111" s="169">
        <v>-239168041921.18118</v>
      </c>
      <c r="K111" s="169">
        <v>-239168041921.18118</v>
      </c>
      <c r="L111" s="169">
        <v>-239168041921.18118</v>
      </c>
      <c r="M111" s="169">
        <v>-239168041921.18118</v>
      </c>
      <c r="N111" s="169"/>
      <c r="O111" s="245"/>
    </row>
    <row r="112" spans="1:15" s="8" customFormat="1" x14ac:dyDescent="0.3">
      <c r="A112" s="41"/>
      <c r="B112" s="41"/>
      <c r="C112" s="42"/>
      <c r="D112" s="19" t="str">
        <f xml:space="preserve"> Analysis!D$92</f>
        <v>NPV incl. non-road benefits</v>
      </c>
      <c r="E112" s="29"/>
      <c r="F112" s="19">
        <f xml:space="preserve"> Analysis!F$92</f>
        <v>947559621506.52002</v>
      </c>
      <c r="G112" s="19" t="str">
        <f xml:space="preserve"> Analysis!G$92</f>
        <v>IDR</v>
      </c>
      <c r="H112" s="245"/>
      <c r="I112" s="169">
        <v>947559621506.52002</v>
      </c>
      <c r="J112" s="169">
        <v>568862840509.37988</v>
      </c>
      <c r="K112" s="169">
        <v>1401520903994.2349</v>
      </c>
      <c r="L112" s="169">
        <v>1048388735058.5106</v>
      </c>
      <c r="M112" s="169">
        <v>189751720274.07077</v>
      </c>
      <c r="N112" s="169"/>
      <c r="O112" s="245"/>
    </row>
    <row r="113" spans="1:15" s="8" customFormat="1" x14ac:dyDescent="0.3">
      <c r="A113" s="41"/>
      <c r="B113" s="41"/>
      <c r="C113" s="42"/>
      <c r="E113" s="314"/>
      <c r="H113" s="245"/>
      <c r="I113" s="169"/>
      <c r="J113" s="169"/>
      <c r="K113" s="169"/>
      <c r="L113" s="169"/>
      <c r="M113" s="169"/>
      <c r="N113" s="169"/>
      <c r="O113" s="245"/>
    </row>
    <row r="114" spans="1:15" s="8" customFormat="1" x14ac:dyDescent="0.3">
      <c r="A114" s="41"/>
      <c r="B114" s="41"/>
      <c r="C114" s="42"/>
      <c r="D114" s="234" t="str">
        <f xml:space="preserve"> Analysis!D$77</f>
        <v>PV discount date (date to which values are discounted)</v>
      </c>
      <c r="E114" s="29"/>
      <c r="F114" s="234">
        <f xml:space="preserve"> Analysis!F$77</f>
        <v>45657</v>
      </c>
      <c r="G114" s="234" t="str">
        <f xml:space="preserve"> Analysis!G$77</f>
        <v>date</v>
      </c>
      <c r="H114" s="245"/>
      <c r="I114" s="230">
        <v>45657</v>
      </c>
      <c r="J114" s="230">
        <v>45657</v>
      </c>
      <c r="K114" s="230">
        <v>45657</v>
      </c>
      <c r="L114" s="230">
        <v>45657</v>
      </c>
      <c r="M114" s="230">
        <v>45657</v>
      </c>
      <c r="N114" s="230"/>
      <c r="O114" s="245"/>
    </row>
    <row r="115" spans="1:15" s="261" customFormat="1" x14ac:dyDescent="0.3">
      <c r="A115" s="259"/>
      <c r="B115" s="259"/>
      <c r="C115" s="260"/>
      <c r="D115" s="243" t="str">
        <f xml:space="preserve"> Analysis!D$82</f>
        <v>PV discount rate - in uninflated (i.e., excluding inflation) terms</v>
      </c>
      <c r="E115" s="29"/>
      <c r="F115" s="243">
        <f xml:space="preserve"> Analysis!F$82</f>
        <v>0.05</v>
      </c>
      <c r="G115" s="243" t="str">
        <f xml:space="preserve"> Analysis!G$82</f>
        <v>p.a. real</v>
      </c>
      <c r="H115" s="275"/>
      <c r="I115" s="280">
        <v>0.05</v>
      </c>
      <c r="J115" s="280">
        <v>0.05</v>
      </c>
      <c r="K115" s="280">
        <v>0.05</v>
      </c>
      <c r="L115" s="280">
        <v>0.05</v>
      </c>
      <c r="M115" s="280">
        <v>0.05</v>
      </c>
      <c r="N115" s="280"/>
      <c r="O115" s="275"/>
    </row>
    <row r="116" spans="1:15" s="55" customFormat="1" x14ac:dyDescent="0.3">
      <c r="A116" s="240"/>
      <c r="B116" s="240"/>
      <c r="C116" s="241"/>
      <c r="D116" s="242"/>
      <c r="E116" s="29"/>
      <c r="F116" s="242"/>
      <c r="G116" s="242"/>
      <c r="H116" s="276"/>
      <c r="I116" s="242"/>
      <c r="J116" s="242"/>
      <c r="K116" s="242"/>
      <c r="L116" s="242"/>
      <c r="M116" s="242"/>
      <c r="N116" s="242"/>
      <c r="O116" s="276"/>
    </row>
    <row r="117" spans="1:15" x14ac:dyDescent="0.3">
      <c r="A117" s="1" t="s">
        <v>26</v>
      </c>
    </row>
  </sheetData>
  <phoneticPr fontId="4" type="noConversion"/>
  <dataValidations count="4">
    <dataValidation type="list" allowBlank="1" showInputMessage="1" showErrorMessage="1" sqref="D6:E6" xr:uid="{E9A27DDC-8617-44FC-A369-508EFF6BC280}">
      <formula1>Case_list</formula1>
    </dataValidation>
    <dataValidation type="list" allowBlank="1" showInputMessage="1" showErrorMessage="1" sqref="I21:N22 I24:N24" xr:uid="{5C7144F2-8784-4D10-BF02-348AD065D717}">
      <formula1>Crop_and_fruit_list</formula1>
    </dataValidation>
    <dataValidation type="list" allowBlank="1" showInputMessage="1" showErrorMessage="1" sqref="I27:N27" xr:uid="{521B7F2C-CDD5-40BE-A199-B530C60835D3}">
      <formula1>Livestock_list</formula1>
    </dataValidation>
    <dataValidation allowBlank="1" showInputMessage="1" showErrorMessage="1" sqref="D29:E30" xr:uid="{04217D8F-584A-4D78-A6B1-5A7C339F8945}"/>
  </dataValidations>
  <pageMargins left="0.70866141732283472" right="0.70866141732283472" top="0.74803149606299213" bottom="0.74803149606299213" header="0.31496062992125984" footer="0.31496062992125984"/>
  <pageSetup paperSize="9" scale="55" orientation="landscape"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E5713-8AB6-4AF1-92AA-EEEADDC7CF84}">
  <sheetPr>
    <tabColor rgb="FF00B050"/>
  </sheetPr>
  <dimension ref="A1:F33"/>
  <sheetViews>
    <sheetView workbookViewId="0">
      <selection activeCell="A33" sqref="A33"/>
    </sheetView>
  </sheetViews>
  <sheetFormatPr defaultRowHeight="14.4" x14ac:dyDescent="0.3"/>
  <cols>
    <col min="1" max="1" width="52.33203125" style="2" customWidth="1"/>
    <col min="2" max="2" width="15.33203125" customWidth="1"/>
    <col min="3" max="3" width="14.44140625" customWidth="1"/>
  </cols>
  <sheetData>
    <row r="1" spans="1:6" s="348" customFormat="1" x14ac:dyDescent="0.3">
      <c r="A1" s="320" t="s">
        <v>27</v>
      </c>
      <c r="B1" s="28" t="s">
        <v>28</v>
      </c>
      <c r="C1" s="62" t="s">
        <v>29</v>
      </c>
      <c r="D1" s="52" t="s">
        <v>30</v>
      </c>
    </row>
    <row r="2" spans="1:6" x14ac:dyDescent="0.3">
      <c r="A2" s="2" t="s">
        <v>358</v>
      </c>
    </row>
    <row r="3" spans="1:6" x14ac:dyDescent="0.3">
      <c r="A3" s="382" t="s">
        <v>428</v>
      </c>
      <c r="C3" s="386">
        <v>10000</v>
      </c>
      <c r="D3" t="s">
        <v>359</v>
      </c>
    </row>
    <row r="6" spans="1:6" x14ac:dyDescent="0.3">
      <c r="A6" s="31" t="s">
        <v>360</v>
      </c>
    </row>
    <row r="7" spans="1:6" x14ac:dyDescent="0.3">
      <c r="A7" s="382" t="s">
        <v>363</v>
      </c>
      <c r="B7" t="s">
        <v>361</v>
      </c>
      <c r="C7">
        <v>22945516</v>
      </c>
      <c r="D7" t="s">
        <v>362</v>
      </c>
    </row>
    <row r="8" spans="1:6" x14ac:dyDescent="0.3">
      <c r="A8" s="382" t="s">
        <v>364</v>
      </c>
      <c r="B8" t="s">
        <v>365</v>
      </c>
      <c r="C8">
        <v>275501339</v>
      </c>
      <c r="D8" t="s">
        <v>359</v>
      </c>
    </row>
    <row r="9" spans="1:6" x14ac:dyDescent="0.3">
      <c r="A9" s="382" t="s">
        <v>366</v>
      </c>
      <c r="C9" s="47">
        <f>C7/C8</f>
        <v>8.3286404644298304E-2</v>
      </c>
      <c r="D9" t="s">
        <v>367</v>
      </c>
      <c r="F9" s="92"/>
    </row>
    <row r="12" spans="1:6" x14ac:dyDescent="0.3">
      <c r="A12" s="31" t="s">
        <v>429</v>
      </c>
      <c r="B12" t="s">
        <v>368</v>
      </c>
      <c r="C12" s="387">
        <v>3.125</v>
      </c>
      <c r="D12" t="s">
        <v>369</v>
      </c>
    </row>
    <row r="13" spans="1:6" x14ac:dyDescent="0.3">
      <c r="A13" s="31" t="s">
        <v>430</v>
      </c>
      <c r="B13" t="s">
        <v>370</v>
      </c>
      <c r="C13" s="387">
        <v>4.3540000000000001</v>
      </c>
      <c r="D13" t="s">
        <v>369</v>
      </c>
    </row>
    <row r="14" spans="1:6" x14ac:dyDescent="0.3">
      <c r="A14" s="31" t="s">
        <v>435</v>
      </c>
      <c r="B14" t="s">
        <v>436</v>
      </c>
      <c r="C14" s="392">
        <v>17.2349</v>
      </c>
      <c r="D14" t="s">
        <v>369</v>
      </c>
    </row>
    <row r="15" spans="1:6" x14ac:dyDescent="0.3">
      <c r="A15" s="31" t="s">
        <v>437</v>
      </c>
      <c r="B15" t="s">
        <v>439</v>
      </c>
      <c r="C15" s="392">
        <v>80.2</v>
      </c>
      <c r="D15" t="s">
        <v>438</v>
      </c>
    </row>
    <row r="16" spans="1:6" x14ac:dyDescent="0.3">
      <c r="A16" s="31"/>
      <c r="C16" s="392"/>
    </row>
    <row r="17" spans="1:4" x14ac:dyDescent="0.3">
      <c r="A17" s="31"/>
      <c r="C17" s="392"/>
    </row>
    <row r="19" spans="1:4" x14ac:dyDescent="0.3">
      <c r="A19" s="31" t="s">
        <v>373</v>
      </c>
      <c r="C19" s="92">
        <f>C20*C21</f>
        <v>222.08647634171871</v>
      </c>
      <c r="D19" t="s">
        <v>375</v>
      </c>
    </row>
    <row r="20" spans="1:4" x14ac:dyDescent="0.3">
      <c r="A20" s="382" t="s">
        <v>431</v>
      </c>
      <c r="B20" s="350" t="s">
        <v>371</v>
      </c>
      <c r="C20" s="391">
        <v>123067</v>
      </c>
      <c r="D20" t="s">
        <v>375</v>
      </c>
    </row>
    <row r="21" spans="1:4" x14ac:dyDescent="0.3">
      <c r="A21" s="389" t="s">
        <v>440</v>
      </c>
      <c r="C21" s="55">
        <f>C25</f>
        <v>1.8045981159995669E-3</v>
      </c>
    </row>
    <row r="22" spans="1:4" x14ac:dyDescent="0.3">
      <c r="A22" s="31" t="s">
        <v>374</v>
      </c>
      <c r="C22" s="92">
        <f>C23*C24</f>
        <v>87021.572165878664</v>
      </c>
      <c r="D22" t="s">
        <v>375</v>
      </c>
    </row>
    <row r="23" spans="1:4" x14ac:dyDescent="0.3">
      <c r="A23" s="382" t="s">
        <v>432</v>
      </c>
      <c r="B23" t="s">
        <v>372</v>
      </c>
      <c r="C23" s="391">
        <v>48222134</v>
      </c>
      <c r="D23" t="s">
        <v>375</v>
      </c>
    </row>
    <row r="24" spans="1:4" x14ac:dyDescent="0.3">
      <c r="A24" s="389" t="s">
        <v>440</v>
      </c>
      <c r="C24" s="55">
        <f>C25</f>
        <v>1.8045981159995669E-3</v>
      </c>
    </row>
    <row r="25" spans="1:4" ht="15" customHeight="1" x14ac:dyDescent="0.3">
      <c r="A25" s="383" t="s">
        <v>441</v>
      </c>
      <c r="B25" t="s">
        <v>424</v>
      </c>
      <c r="C25" s="55">
        <f>C3/C26</f>
        <v>1.8045981159995669E-3</v>
      </c>
    </row>
    <row r="26" spans="1:4" x14ac:dyDescent="0.3">
      <c r="A26" s="388" t="s">
        <v>433</v>
      </c>
      <c r="B26" s="350" t="s">
        <v>434</v>
      </c>
      <c r="C26" s="390">
        <v>5541400</v>
      </c>
      <c r="D26" t="s">
        <v>359</v>
      </c>
    </row>
    <row r="27" spans="1:4" x14ac:dyDescent="0.3">
      <c r="A27" s="382"/>
      <c r="C27" s="55"/>
    </row>
    <row r="29" spans="1:4" x14ac:dyDescent="0.3">
      <c r="A29" s="31" t="s">
        <v>382</v>
      </c>
      <c r="B29" s="350" t="s">
        <v>420</v>
      </c>
      <c r="C29" s="92">
        <v>1600</v>
      </c>
      <c r="D29" t="s">
        <v>383</v>
      </c>
    </row>
    <row r="30" spans="1:4" x14ac:dyDescent="0.3">
      <c r="A30" s="31" t="s">
        <v>384</v>
      </c>
      <c r="B30" t="s">
        <v>424</v>
      </c>
      <c r="C30" s="386">
        <v>12466</v>
      </c>
      <c r="D30" t="s">
        <v>224</v>
      </c>
    </row>
    <row r="32" spans="1:4" x14ac:dyDescent="0.3">
      <c r="A32" s="31" t="s">
        <v>447</v>
      </c>
      <c r="B32" t="s">
        <v>415</v>
      </c>
      <c r="C32" s="92">
        <v>6</v>
      </c>
      <c r="D32" t="s">
        <v>418</v>
      </c>
    </row>
    <row r="33" spans="1:4" x14ac:dyDescent="0.3">
      <c r="A33" s="31" t="s">
        <v>448</v>
      </c>
      <c r="B33" t="s">
        <v>415</v>
      </c>
      <c r="C33" s="92">
        <v>7</v>
      </c>
      <c r="D33" t="s">
        <v>99</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B5846-E8D4-47A7-AAEA-5085C38DB2FC}">
  <sheetPr>
    <tabColor rgb="FF00B050"/>
  </sheetPr>
  <dimension ref="A1:L210"/>
  <sheetViews>
    <sheetView zoomScale="80" zoomScaleNormal="80" workbookViewId="0">
      <pane ySplit="2" topLeftCell="A3" activePane="bottomLeft" state="frozen"/>
      <selection pane="bottomLeft" activeCell="F189" sqref="F189"/>
    </sheetView>
  </sheetViews>
  <sheetFormatPr defaultColWidth="8.88671875" defaultRowHeight="14.4" x14ac:dyDescent="0.3"/>
  <cols>
    <col min="1" max="1" width="1.5546875" customWidth="1"/>
    <col min="2" max="2" width="1.5546875" style="1" customWidth="1"/>
    <col min="3" max="3" width="1.5546875" style="173" customWidth="1"/>
    <col min="4" max="4" width="60.88671875" customWidth="1"/>
    <col min="5" max="5" width="4.5546875" style="9" customWidth="1"/>
    <col min="6" max="6" width="16.88671875" style="126" customWidth="1"/>
    <col min="7" max="7" width="23.5546875" customWidth="1"/>
    <col min="8" max="8" width="23.44140625" customWidth="1"/>
    <col min="9" max="9" width="23.6640625" customWidth="1"/>
    <col min="10" max="10" width="20.44140625" customWidth="1"/>
  </cols>
  <sheetData>
    <row r="1" spans="1:9" ht="24.6" x14ac:dyDescent="0.3">
      <c r="A1" s="32" t="str">
        <f ca="1" xml:space="preserve"> RIGHT(CELL("filename", A1), LEN(CELL("filename", A1)) - SEARCH("]", CELL("filename", A1)))</f>
        <v>Other inputs (IDR)</v>
      </c>
      <c r="C1" s="172"/>
      <c r="F1" s="286" t="str">
        <f xml:space="preserve"> "Active case: " &amp; 'Key inputs &amp; outputs'!$F$8</f>
        <v>Active case: Base case</v>
      </c>
      <c r="G1" s="4"/>
      <c r="H1" s="4"/>
      <c r="I1" s="4"/>
    </row>
    <row r="2" spans="1:9" x14ac:dyDescent="0.3">
      <c r="D2" s="52" t="s">
        <v>27</v>
      </c>
      <c r="E2" s="21" t="s">
        <v>28</v>
      </c>
      <c r="F2" s="302" t="s">
        <v>105</v>
      </c>
      <c r="H2" s="28"/>
    </row>
    <row r="3" spans="1:9" x14ac:dyDescent="0.3">
      <c r="H3" s="28"/>
    </row>
    <row r="4" spans="1:9" x14ac:dyDescent="0.3">
      <c r="B4" s="1" t="s">
        <v>106</v>
      </c>
      <c r="H4" s="28"/>
    </row>
    <row r="5" spans="1:9" s="47" customFormat="1" x14ac:dyDescent="0.3">
      <c r="B5" s="48"/>
      <c r="C5" s="175"/>
      <c r="D5" s="46" t="s">
        <v>389</v>
      </c>
      <c r="E5" s="10"/>
      <c r="F5" s="281">
        <v>15612</v>
      </c>
      <c r="G5" s="47" t="s">
        <v>390</v>
      </c>
      <c r="H5" s="28"/>
      <c r="I5" s="46"/>
    </row>
    <row r="6" spans="1:9" s="47" customFormat="1" x14ac:dyDescent="0.3">
      <c r="B6" s="48"/>
      <c r="C6" s="175"/>
      <c r="D6" s="46" t="s">
        <v>391</v>
      </c>
      <c r="E6" s="10"/>
      <c r="F6" s="281">
        <v>10318.43</v>
      </c>
      <c r="G6" s="47" t="s">
        <v>392</v>
      </c>
      <c r="H6" s="28"/>
      <c r="I6" s="46"/>
    </row>
    <row r="7" spans="1:9" s="131" customFormat="1" x14ac:dyDescent="0.3">
      <c r="B7" s="130"/>
      <c r="C7" s="177"/>
      <c r="D7" s="132" t="s">
        <v>393</v>
      </c>
      <c r="E7" s="38">
        <f xml:space="preserve"> 'References &amp; Notes'!B$4</f>
        <v>1</v>
      </c>
      <c r="F7" s="133">
        <v>1.1000000000000001</v>
      </c>
      <c r="G7" s="131" t="s">
        <v>110</v>
      </c>
      <c r="H7" s="28"/>
      <c r="I7" s="46"/>
    </row>
    <row r="8" spans="1:9" s="131" customFormat="1" x14ac:dyDescent="0.3">
      <c r="B8" s="130"/>
      <c r="C8" s="177"/>
      <c r="D8" s="132" t="s">
        <v>394</v>
      </c>
      <c r="E8" s="38">
        <f xml:space="preserve"> 'References &amp; Notes'!B$4</f>
        <v>1</v>
      </c>
      <c r="F8" s="133">
        <v>2.04</v>
      </c>
      <c r="G8" s="131" t="s">
        <v>110</v>
      </c>
      <c r="H8" s="28"/>
      <c r="I8" s="46"/>
    </row>
    <row r="9" spans="1:9" s="45" customFormat="1" x14ac:dyDescent="0.3">
      <c r="C9" s="186"/>
      <c r="D9" s="16" t="s">
        <v>112</v>
      </c>
      <c r="E9" s="9"/>
      <c r="F9" s="167">
        <v>365</v>
      </c>
      <c r="G9" s="16" t="s">
        <v>99</v>
      </c>
      <c r="H9" s="28"/>
    </row>
    <row r="10" spans="1:9" s="47" customFormat="1" x14ac:dyDescent="0.3">
      <c r="B10" s="48"/>
      <c r="C10" s="175"/>
      <c r="D10" s="46"/>
      <c r="E10" s="10"/>
      <c r="F10" s="44"/>
      <c r="H10" s="28"/>
      <c r="I10" s="46"/>
    </row>
    <row r="11" spans="1:9" s="45" customFormat="1" x14ac:dyDescent="0.3">
      <c r="B11" s="45" t="s">
        <v>113</v>
      </c>
      <c r="C11" s="186"/>
      <c r="E11" s="10"/>
      <c r="F11" s="46"/>
      <c r="H11" s="28"/>
    </row>
    <row r="12" spans="1:9" s="45" customFormat="1" x14ac:dyDescent="0.3">
      <c r="C12" s="186"/>
      <c r="D12" s="46" t="s">
        <v>114</v>
      </c>
      <c r="E12" s="10"/>
      <c r="F12" s="14">
        <v>2</v>
      </c>
      <c r="G12" s="47" t="s">
        <v>115</v>
      </c>
      <c r="H12" s="28"/>
    </row>
    <row r="13" spans="1:9" s="45" customFormat="1" x14ac:dyDescent="0.3">
      <c r="C13" s="186"/>
      <c r="D13" s="46" t="s">
        <v>116</v>
      </c>
      <c r="E13" s="10"/>
      <c r="F13" s="14">
        <f>8/100</f>
        <v>0.08</v>
      </c>
      <c r="G13" s="47" t="s">
        <v>455</v>
      </c>
      <c r="H13" s="28"/>
    </row>
    <row r="14" spans="1:9" s="45" customFormat="1" x14ac:dyDescent="0.3">
      <c r="C14" s="186"/>
      <c r="D14" s="46" t="s">
        <v>117</v>
      </c>
      <c r="E14" s="38">
        <f xml:space="preserve"> 'References &amp; Notes'!B$5</f>
        <v>2</v>
      </c>
      <c r="F14" s="14">
        <v>10161.81</v>
      </c>
      <c r="G14" s="47" t="s">
        <v>456</v>
      </c>
      <c r="H14" s="28"/>
    </row>
    <row r="15" spans="1:9" s="45" customFormat="1" x14ac:dyDescent="0.3">
      <c r="C15" s="186"/>
      <c r="E15" s="10"/>
      <c r="F15" s="46"/>
      <c r="H15" s="28"/>
    </row>
    <row r="16" spans="1:9" s="15" customFormat="1" x14ac:dyDescent="0.3">
      <c r="B16" s="15" t="s">
        <v>118</v>
      </c>
      <c r="C16" s="172"/>
      <c r="E16" s="10"/>
      <c r="F16" s="10"/>
      <c r="H16" s="10"/>
    </row>
    <row r="17" spans="2:8" s="15" customFormat="1" x14ac:dyDescent="0.3">
      <c r="C17" s="172"/>
      <c r="D17" s="158" t="s">
        <v>119</v>
      </c>
      <c r="E17" s="158"/>
      <c r="F17" s="10"/>
      <c r="H17" s="10"/>
    </row>
    <row r="18" spans="2:8" s="15" customFormat="1" x14ac:dyDescent="0.3">
      <c r="C18" s="172"/>
      <c r="D18" s="158"/>
      <c r="E18" s="158"/>
      <c r="F18" s="10"/>
      <c r="H18" s="10"/>
    </row>
    <row r="19" spans="2:8" s="134" customFormat="1" x14ac:dyDescent="0.3">
      <c r="B19" s="135"/>
      <c r="C19" s="136"/>
      <c r="D19" s="134" t="str">
        <f xml:space="preserve"> D$8</f>
        <v>Inflation (1 IDR in 2007 vs 1 IDR in 2023)</v>
      </c>
      <c r="E19" s="19"/>
      <c r="F19" s="134">
        <f xml:space="preserve"> F$8</f>
        <v>2.04</v>
      </c>
      <c r="G19" s="134" t="str">
        <f xml:space="preserve"> G$8</f>
        <v>index</v>
      </c>
      <c r="H19" s="136"/>
    </row>
    <row r="20" spans="2:8" s="23" customFormat="1" x14ac:dyDescent="0.3">
      <c r="C20" s="178"/>
      <c r="D20" s="27" t="s">
        <v>120</v>
      </c>
      <c r="E20" s="38">
        <f xml:space="preserve"> 'References &amp; Notes'!B$6</f>
        <v>3</v>
      </c>
      <c r="F20" s="246" t="s">
        <v>121</v>
      </c>
      <c r="G20" s="246" t="s">
        <v>333</v>
      </c>
      <c r="H20"/>
    </row>
    <row r="21" spans="2:8" s="23" customFormat="1" x14ac:dyDescent="0.3">
      <c r="C21" s="178"/>
      <c r="D21" s="23" t="s">
        <v>123</v>
      </c>
      <c r="E21" s="19"/>
      <c r="F21" s="79" t="s">
        <v>124</v>
      </c>
      <c r="G21" s="79" t="s">
        <v>124</v>
      </c>
      <c r="H21"/>
    </row>
    <row r="22" spans="2:8" x14ac:dyDescent="0.3">
      <c r="D22" s="10" t="s">
        <v>125</v>
      </c>
      <c r="E22" s="10"/>
      <c r="F22" s="380">
        <f>'Other Inputs (AUD)'!F21*'Other inputs (IDR)'!$F$6</f>
        <v>46432.934999999998</v>
      </c>
      <c r="G22" s="343">
        <f t="shared" ref="G22:G29" si="0">F22*$F$19</f>
        <v>94723.187399999995</v>
      </c>
    </row>
    <row r="23" spans="2:8" x14ac:dyDescent="0.3">
      <c r="D23" s="10" t="s">
        <v>126</v>
      </c>
      <c r="E23" s="10"/>
      <c r="F23" s="380">
        <f>'Other Inputs (AUD)'!F22*'Other inputs (IDR)'!$F$6</f>
        <v>47464.777999999998</v>
      </c>
      <c r="G23" s="342">
        <f>F23*$F$19</f>
        <v>96828.147119999994</v>
      </c>
    </row>
    <row r="24" spans="2:8" x14ac:dyDescent="0.3">
      <c r="D24" s="10" t="s">
        <v>127</v>
      </c>
      <c r="E24" s="10"/>
      <c r="F24" s="380">
        <f>'Other Inputs (AUD)'!F23*'Other inputs (IDR)'!$F$6</f>
        <v>88738.497999999992</v>
      </c>
      <c r="G24" s="342">
        <f t="shared" si="0"/>
        <v>181026.53591999999</v>
      </c>
    </row>
    <row r="25" spans="2:8" x14ac:dyDescent="0.3">
      <c r="D25" s="10" t="s">
        <v>128</v>
      </c>
      <c r="E25" s="10"/>
      <c r="F25" s="380">
        <f>'Other Inputs (AUD)'!F24*'Other inputs (IDR)'!$F$6</f>
        <v>88738.497999999992</v>
      </c>
      <c r="G25" s="342">
        <f t="shared" si="0"/>
        <v>181026.53591999999</v>
      </c>
    </row>
    <row r="26" spans="2:8" x14ac:dyDescent="0.3">
      <c r="D26" s="9" t="s">
        <v>129</v>
      </c>
      <c r="F26" s="380">
        <f>'Other Inputs (AUD)'!F25*'Other inputs (IDR)'!$F$6</f>
        <v>171285.93800000002</v>
      </c>
      <c r="G26" s="342">
        <f t="shared" si="0"/>
        <v>349423.31352000008</v>
      </c>
    </row>
    <row r="27" spans="2:8" x14ac:dyDescent="0.3">
      <c r="D27" s="9" t="s">
        <v>130</v>
      </c>
      <c r="F27" s="380">
        <f>'Other Inputs (AUD)'!F26*'Other inputs (IDR)'!$F$6</f>
        <v>212559.65800000002</v>
      </c>
      <c r="G27" s="342">
        <f t="shared" si="0"/>
        <v>433621.70232000004</v>
      </c>
    </row>
    <row r="28" spans="2:8" x14ac:dyDescent="0.3">
      <c r="D28" s="9" t="s">
        <v>131</v>
      </c>
      <c r="F28" s="380">
        <f>'Other Inputs (AUD)'!F27*'Other inputs (IDR)'!$F$6</f>
        <v>227005.46000000002</v>
      </c>
      <c r="G28" s="342">
        <f t="shared" si="0"/>
        <v>463091.13840000005</v>
      </c>
    </row>
    <row r="29" spans="2:8" x14ac:dyDescent="0.3">
      <c r="D29" s="9" t="s">
        <v>132</v>
      </c>
      <c r="F29" s="380">
        <f>'Other Inputs (AUD)'!F28*'Other inputs (IDR)'!$F$6</f>
        <v>290979.72600000002</v>
      </c>
      <c r="G29" s="342">
        <f t="shared" si="0"/>
        <v>593598.64104000002</v>
      </c>
    </row>
    <row r="31" spans="2:8" s="45" customFormat="1" x14ac:dyDescent="0.3">
      <c r="B31" s="45" t="s">
        <v>133</v>
      </c>
      <c r="C31" s="186"/>
      <c r="E31" s="10"/>
      <c r="F31" s="46"/>
      <c r="H31" s="46"/>
    </row>
    <row r="32" spans="2:8" s="45" customFormat="1" x14ac:dyDescent="0.3">
      <c r="C32" s="186"/>
      <c r="D32" s="46" t="s">
        <v>449</v>
      </c>
      <c r="E32" s="10"/>
      <c r="F32" s="14">
        <v>39.1</v>
      </c>
      <c r="G32" s="47" t="s">
        <v>134</v>
      </c>
      <c r="H32" s="46"/>
    </row>
    <row r="33" spans="2:8" s="45" customFormat="1" x14ac:dyDescent="0.3">
      <c r="C33" s="186"/>
      <c r="D33" s="46" t="s">
        <v>135</v>
      </c>
      <c r="E33" s="10"/>
      <c r="F33" s="14">
        <v>2</v>
      </c>
      <c r="G33" s="47" t="s">
        <v>136</v>
      </c>
      <c r="H33" s="46"/>
    </row>
    <row r="34" spans="2:8" s="45" customFormat="1" x14ac:dyDescent="0.3">
      <c r="C34" s="186"/>
      <c r="E34" s="10"/>
      <c r="F34" s="46"/>
      <c r="H34" s="46"/>
    </row>
    <row r="35" spans="2:8" s="45" customFormat="1" x14ac:dyDescent="0.3">
      <c r="C35" s="186"/>
      <c r="D35" s="47" t="s">
        <v>450</v>
      </c>
      <c r="E35" s="9"/>
      <c r="F35" s="14">
        <f>11.9</f>
        <v>11.9</v>
      </c>
      <c r="G35" s="47" t="s">
        <v>137</v>
      </c>
      <c r="H35" s="46"/>
    </row>
    <row r="36" spans="2:8" s="45" customFormat="1" x14ac:dyDescent="0.3">
      <c r="C36" s="186"/>
      <c r="D36" s="47" t="s">
        <v>451</v>
      </c>
      <c r="E36" s="301">
        <f xml:space="preserve"> 'References &amp; Notes'!B$15</f>
        <v>12</v>
      </c>
      <c r="F36" s="14">
        <f>3.7</f>
        <v>3.7</v>
      </c>
      <c r="G36" s="47" t="s">
        <v>137</v>
      </c>
      <c r="H36" s="46"/>
    </row>
    <row r="37" spans="2:8" s="45" customFormat="1" ht="5.0999999999999996" customHeight="1" x14ac:dyDescent="0.3">
      <c r="C37" s="186"/>
      <c r="D37" s="46"/>
      <c r="F37" s="25"/>
      <c r="G37" s="46"/>
      <c r="H37" s="46"/>
    </row>
    <row r="38" spans="2:8" s="25" customFormat="1" x14ac:dyDescent="0.3">
      <c r="B38" s="52"/>
      <c r="C38" s="180"/>
      <c r="D38" s="25" t="str">
        <f xml:space="preserve"> D$5</f>
        <v>Exchange rate USD to IDR</v>
      </c>
      <c r="F38" s="344">
        <f xml:space="preserve"> F$5</f>
        <v>15612</v>
      </c>
      <c r="G38" s="25" t="str">
        <f t="shared" ref="G38" si="1" xml:space="preserve"> G$5</f>
        <v>IDR/USD</v>
      </c>
    </row>
    <row r="39" spans="2:8" s="45" customFormat="1" ht="5.0999999999999996" customHeight="1" x14ac:dyDescent="0.3">
      <c r="C39" s="186"/>
      <c r="D39" s="46"/>
      <c r="E39" s="10"/>
      <c r="F39" s="344"/>
      <c r="G39" s="46"/>
      <c r="H39" s="46"/>
    </row>
    <row r="40" spans="2:8" s="43" customFormat="1" x14ac:dyDescent="0.3">
      <c r="B40" s="52"/>
      <c r="C40" s="180"/>
      <c r="D40" s="25" t="str">
        <f xml:space="preserve"> 'Other inputs (IDR)'!D$35</f>
        <v>Maintenance cost - virgin material</v>
      </c>
      <c r="E40" s="29"/>
      <c r="F40" s="344">
        <f xml:space="preserve"> F35 * F$38</f>
        <v>185782.80000000002</v>
      </c>
      <c r="G40" s="47" t="s">
        <v>395</v>
      </c>
    </row>
    <row r="41" spans="2:8" s="43" customFormat="1" x14ac:dyDescent="0.3">
      <c r="B41" s="52"/>
      <c r="C41" s="180"/>
      <c r="D41" s="25" t="str">
        <f xml:space="preserve"> 'Other inputs (IDR)'!D$36</f>
        <v>Maintenance cost - recycled</v>
      </c>
      <c r="F41" s="344">
        <f xml:space="preserve"> F36 * F$38</f>
        <v>57764.4</v>
      </c>
      <c r="G41" s="47" t="s">
        <v>395</v>
      </c>
    </row>
    <row r="42" spans="2:8" s="45" customFormat="1" x14ac:dyDescent="0.3">
      <c r="C42" s="186"/>
      <c r="E42" s="10"/>
      <c r="F42" s="46"/>
      <c r="H42" s="46"/>
    </row>
    <row r="43" spans="2:8" s="45" customFormat="1" x14ac:dyDescent="0.3">
      <c r="C43" s="186"/>
      <c r="D43" s="46" t="s">
        <v>452</v>
      </c>
      <c r="E43" s="10"/>
      <c r="F43" s="14">
        <v>1.2</v>
      </c>
      <c r="G43" s="47" t="s">
        <v>139</v>
      </c>
      <c r="H43" s="46"/>
    </row>
    <row r="44" spans="2:8" s="45" customFormat="1" x14ac:dyDescent="0.3">
      <c r="C44" s="186"/>
      <c r="D44" s="7" t="s">
        <v>140</v>
      </c>
      <c r="E44" s="10"/>
      <c r="F44" s="13">
        <v>0.2</v>
      </c>
      <c r="G44" s="6" t="s">
        <v>65</v>
      </c>
      <c r="H44" s="46"/>
    </row>
    <row r="45" spans="2:8" s="45" customFormat="1" x14ac:dyDescent="0.3">
      <c r="C45" s="186"/>
      <c r="E45" s="10"/>
      <c r="F45" s="46"/>
      <c r="H45" s="46"/>
    </row>
    <row r="46" spans="2:8" s="45" customFormat="1" x14ac:dyDescent="0.3">
      <c r="C46" s="186"/>
      <c r="D46" s="16" t="s">
        <v>453</v>
      </c>
      <c r="E46" s="9"/>
      <c r="F46" s="167">
        <v>5</v>
      </c>
      <c r="G46" s="16" t="s">
        <v>141</v>
      </c>
      <c r="H46" s="46"/>
    </row>
    <row r="47" spans="2:8" s="45" customFormat="1" x14ac:dyDescent="0.3">
      <c r="C47" s="186"/>
      <c r="E47" s="10"/>
      <c r="F47" s="46"/>
      <c r="H47" s="46"/>
    </row>
    <row r="48" spans="2:8" s="15" customFormat="1" collapsed="1" x14ac:dyDescent="0.3">
      <c r="B48" s="15" t="s">
        <v>142</v>
      </c>
      <c r="C48" s="172"/>
      <c r="E48" s="10"/>
      <c r="F48" s="10"/>
    </row>
    <row r="49" spans="2:8" s="15" customFormat="1" x14ac:dyDescent="0.3">
      <c r="C49" s="172"/>
      <c r="D49" s="158" t="s">
        <v>119</v>
      </c>
      <c r="E49" s="158"/>
      <c r="F49" s="10"/>
      <c r="H49" s="10"/>
    </row>
    <row r="50" spans="2:8" s="15" customFormat="1" x14ac:dyDescent="0.3">
      <c r="C50" s="172"/>
      <c r="D50" s="158"/>
      <c r="E50" s="158"/>
      <c r="F50" s="10"/>
      <c r="H50" s="10"/>
    </row>
    <row r="51" spans="2:8" s="134" customFormat="1" x14ac:dyDescent="0.3">
      <c r="B51" s="135"/>
      <c r="C51" s="136"/>
      <c r="D51" s="134" t="str">
        <f xml:space="preserve"> D$8</f>
        <v>Inflation (1 IDR in 2007 vs 1 IDR in 2023)</v>
      </c>
      <c r="E51" s="19"/>
      <c r="F51" s="134">
        <f xml:space="preserve"> F$8</f>
        <v>2.04</v>
      </c>
      <c r="G51" s="134" t="str">
        <f xml:space="preserve"> G$8</f>
        <v>index</v>
      </c>
      <c r="H51" s="136"/>
    </row>
    <row r="52" spans="2:8" s="19" customFormat="1" x14ac:dyDescent="0.3">
      <c r="B52" s="21"/>
      <c r="C52" s="154"/>
      <c r="D52" s="31" t="s">
        <v>421</v>
      </c>
      <c r="E52" s="38">
        <f xml:space="preserve"> 'References &amp; Notes'!B$6</f>
        <v>3</v>
      </c>
      <c r="F52" s="246" t="s">
        <v>121</v>
      </c>
      <c r="G52" s="246" t="s">
        <v>333</v>
      </c>
    </row>
    <row r="53" spans="2:8" s="23" customFormat="1" x14ac:dyDescent="0.3">
      <c r="C53" s="178"/>
      <c r="D53" s="28" t="s">
        <v>123</v>
      </c>
      <c r="E53" s="19"/>
      <c r="F53" s="80" t="s">
        <v>396</v>
      </c>
      <c r="G53" s="80" t="s">
        <v>396</v>
      </c>
      <c r="H53"/>
    </row>
    <row r="54" spans="2:8" x14ac:dyDescent="0.3">
      <c r="D54" s="16" t="s">
        <v>145</v>
      </c>
      <c r="F54" s="380">
        <f>'Other Inputs (AUD)'!F53*'Other inputs (IDR)'!$F$6</f>
        <v>201518.93790000002</v>
      </c>
      <c r="G54" s="341">
        <f t="shared" ref="G54:G69" si="2">F54*$F$51</f>
        <v>411098.63331600005</v>
      </c>
    </row>
    <row r="55" spans="2:8" x14ac:dyDescent="0.3">
      <c r="D55" s="16" t="s">
        <v>146</v>
      </c>
      <c r="F55" s="380">
        <f>'Other Inputs (AUD)'!F54*'Other inputs (IDR)'!$F$6</f>
        <v>189652.74340000001</v>
      </c>
      <c r="G55" s="342">
        <f t="shared" si="2"/>
        <v>386891.59653600003</v>
      </c>
    </row>
    <row r="56" spans="2:8" x14ac:dyDescent="0.3">
      <c r="D56" s="16" t="s">
        <v>147</v>
      </c>
      <c r="F56" s="380">
        <f>'Other Inputs (AUD)'!F55*'Other inputs (IDR)'!$F$6</f>
        <v>429453.05660000001</v>
      </c>
      <c r="G56" s="342">
        <f t="shared" si="2"/>
        <v>876084.23546400003</v>
      </c>
    </row>
    <row r="57" spans="2:8" x14ac:dyDescent="0.3">
      <c r="D57" s="16" t="s">
        <v>148</v>
      </c>
      <c r="F57" s="380">
        <f>'Other Inputs (AUD)'!F56*'Other inputs (IDR)'!$F$6</f>
        <v>462368.84830000001</v>
      </c>
      <c r="G57" s="342">
        <f t="shared" si="2"/>
        <v>943232.45053200005</v>
      </c>
    </row>
    <row r="58" spans="2:8" x14ac:dyDescent="0.3">
      <c r="D58" s="16" t="s">
        <v>149</v>
      </c>
      <c r="F58" s="380">
        <f>'Other Inputs (AUD)'!F57*'Other inputs (IDR)'!$F$6</f>
        <v>302845.92050000001</v>
      </c>
      <c r="G58" s="342">
        <f t="shared" si="2"/>
        <v>617805.67781999998</v>
      </c>
    </row>
    <row r="59" spans="2:8" x14ac:dyDescent="0.3">
      <c r="D59" s="16" t="s">
        <v>150</v>
      </c>
      <c r="F59" s="380">
        <f>'Other Inputs (AUD)'!F58*'Other inputs (IDR)'!$F$6</f>
        <v>337309.4767</v>
      </c>
      <c r="G59" s="342">
        <f t="shared" si="2"/>
        <v>688111.33246800001</v>
      </c>
    </row>
    <row r="60" spans="2:8" x14ac:dyDescent="0.3">
      <c r="D60" s="16" t="s">
        <v>151</v>
      </c>
      <c r="F60" s="380">
        <f>'Other Inputs (AUD)'!F59*'Other inputs (IDR)'!$F$6</f>
        <v>1422705.1284</v>
      </c>
      <c r="G60" s="342">
        <f t="shared" si="2"/>
        <v>2902318.4619360003</v>
      </c>
    </row>
    <row r="61" spans="2:8" x14ac:dyDescent="0.3">
      <c r="D61" s="16" t="s">
        <v>152</v>
      </c>
      <c r="F61" s="380">
        <f>'Other Inputs (AUD)'!F60*'Other inputs (IDR)'!$F$6</f>
        <v>1798502.3490000002</v>
      </c>
      <c r="G61" s="342">
        <f t="shared" si="2"/>
        <v>3668944.7919600005</v>
      </c>
    </row>
    <row r="62" spans="2:8" x14ac:dyDescent="0.3">
      <c r="D62" s="16" t="s">
        <v>153</v>
      </c>
      <c r="F62" s="380">
        <f>'Other Inputs (AUD)'!F61*'Other inputs (IDR)'!$F$6</f>
        <v>399942.3468</v>
      </c>
      <c r="G62" s="342">
        <f t="shared" si="2"/>
        <v>815882.38747199997</v>
      </c>
    </row>
    <row r="63" spans="2:8" x14ac:dyDescent="0.3">
      <c r="D63" s="16" t="s">
        <v>154</v>
      </c>
      <c r="F63" s="380">
        <f>'Other Inputs (AUD)'!F62*'Other inputs (IDR)'!$F$6</f>
        <v>549972.31900000002</v>
      </c>
      <c r="G63" s="342">
        <f t="shared" si="2"/>
        <v>1121943.53076</v>
      </c>
    </row>
    <row r="64" spans="2:8" x14ac:dyDescent="0.3">
      <c r="D64" s="16" t="s">
        <v>155</v>
      </c>
      <c r="F64" s="380">
        <f>'Other Inputs (AUD)'!F63*'Other inputs (IDR)'!$F$6</f>
        <v>499412.01199999999</v>
      </c>
      <c r="G64" s="342">
        <f t="shared" si="2"/>
        <v>1018800.50448</v>
      </c>
    </row>
    <row r="65" spans="2:10" x14ac:dyDescent="0.3">
      <c r="D65" s="16" t="s">
        <v>156</v>
      </c>
      <c r="F65" s="380">
        <f>'Other Inputs (AUD)'!F64*'Other inputs (IDR)'!$F$6</f>
        <v>756340.91899999999</v>
      </c>
      <c r="G65" s="342">
        <f t="shared" si="2"/>
        <v>1542935.4747600001</v>
      </c>
    </row>
    <row r="66" spans="2:10" x14ac:dyDescent="0.3">
      <c r="D66" s="16" t="s">
        <v>157</v>
      </c>
      <c r="F66" s="380">
        <f>'Other Inputs (AUD)'!F65*'Other inputs (IDR)'!$F$6</f>
        <v>596095.70110000006</v>
      </c>
      <c r="G66" s="342">
        <f t="shared" si="2"/>
        <v>1216035.2302440002</v>
      </c>
    </row>
    <row r="67" spans="2:10" x14ac:dyDescent="0.3">
      <c r="D67" s="16" t="s">
        <v>158</v>
      </c>
      <c r="F67" s="380">
        <f>'Other Inputs (AUD)'!F66*'Other inputs (IDR)'!$F$6</f>
        <v>269414.20730000001</v>
      </c>
      <c r="G67" s="342">
        <f t="shared" si="2"/>
        <v>549604.982892</v>
      </c>
    </row>
    <row r="68" spans="2:10" x14ac:dyDescent="0.3">
      <c r="D68" s="16" t="s">
        <v>159</v>
      </c>
      <c r="F68" s="380">
        <f>'Other Inputs (AUD)'!F67*'Other inputs (IDR)'!$F$6</f>
        <v>761087.3968000001</v>
      </c>
      <c r="G68" s="342">
        <f t="shared" si="2"/>
        <v>1552618.2894720002</v>
      </c>
    </row>
    <row r="69" spans="2:10" x14ac:dyDescent="0.3">
      <c r="D69" s="16" t="s">
        <v>160</v>
      </c>
      <c r="F69" s="380">
        <f>'Other Inputs (AUD)'!F68*'Other inputs (IDR)'!$F$6</f>
        <v>262500.85920000001</v>
      </c>
      <c r="G69" s="342">
        <f t="shared" si="2"/>
        <v>535501.75276800001</v>
      </c>
    </row>
    <row r="70" spans="2:10" x14ac:dyDescent="0.3">
      <c r="F70"/>
    </row>
    <row r="71" spans="2:10" s="29" customFormat="1" x14ac:dyDescent="0.3">
      <c r="B71" s="48" t="s">
        <v>161</v>
      </c>
      <c r="C71" s="179"/>
      <c r="E71" s="19"/>
    </row>
    <row r="72" spans="2:10" s="29" customFormat="1" x14ac:dyDescent="0.3">
      <c r="B72" s="48" t="s">
        <v>162</v>
      </c>
      <c r="C72" s="179"/>
      <c r="E72" s="19"/>
    </row>
    <row r="73" spans="2:10" s="29" customFormat="1" x14ac:dyDescent="0.3">
      <c r="B73" s="48" t="s">
        <v>163</v>
      </c>
      <c r="C73" s="179"/>
      <c r="E73" s="19"/>
    </row>
    <row r="74" spans="2:10" s="29" customFormat="1" x14ac:dyDescent="0.3">
      <c r="B74" s="48" t="s">
        <v>164</v>
      </c>
      <c r="C74" s="179"/>
      <c r="E74" s="19"/>
    </row>
    <row r="75" spans="2:10" s="29" customFormat="1" x14ac:dyDescent="0.3">
      <c r="B75" s="48" t="s">
        <v>165</v>
      </c>
      <c r="C75" s="179"/>
      <c r="E75" s="19"/>
    </row>
    <row r="76" spans="2:10" s="15" customFormat="1" x14ac:dyDescent="0.3">
      <c r="C76" s="172"/>
      <c r="D76" s="158" t="s">
        <v>119</v>
      </c>
      <c r="E76" s="158"/>
      <c r="F76" s="10"/>
      <c r="H76" s="10"/>
    </row>
    <row r="77" spans="2:10" s="15" customFormat="1" x14ac:dyDescent="0.3">
      <c r="C77" s="172"/>
      <c r="D77" s="158"/>
      <c r="E77" s="158"/>
      <c r="F77" s="10"/>
      <c r="H77" s="10"/>
    </row>
    <row r="78" spans="2:10" s="29" customFormat="1" x14ac:dyDescent="0.3">
      <c r="B78" s="28"/>
      <c r="C78" s="179" t="s">
        <v>166</v>
      </c>
      <c r="E78" s="19"/>
      <c r="F78" s="28"/>
      <c r="G78" s="28"/>
      <c r="H78" s="28"/>
      <c r="I78" s="28"/>
      <c r="J78" s="136"/>
    </row>
    <row r="79" spans="2:10" s="29" customFormat="1" x14ac:dyDescent="0.3">
      <c r="B79" s="28"/>
      <c r="C79" s="179"/>
      <c r="E79" s="38">
        <f xml:space="preserve"> 'References &amp; Notes'!B$6</f>
        <v>3</v>
      </c>
      <c r="F79" s="28" t="s">
        <v>167</v>
      </c>
      <c r="G79" s="28"/>
      <c r="H79" s="28" t="s">
        <v>168</v>
      </c>
      <c r="I79" s="28"/>
    </row>
    <row r="80" spans="2:10" s="29" customFormat="1" x14ac:dyDescent="0.3">
      <c r="B80" s="28"/>
      <c r="C80" s="179"/>
      <c r="E80" s="19"/>
      <c r="F80" s="73" t="s">
        <v>169</v>
      </c>
      <c r="G80" s="73" t="s">
        <v>128</v>
      </c>
      <c r="H80" s="73" t="s">
        <v>169</v>
      </c>
      <c r="I80" s="73" t="s">
        <v>128</v>
      </c>
    </row>
    <row r="81" spans="2:10" s="29" customFormat="1" x14ac:dyDescent="0.3">
      <c r="B81" s="28"/>
      <c r="C81" s="179"/>
      <c r="D81" s="28" t="s">
        <v>121</v>
      </c>
      <c r="E81" s="19"/>
      <c r="F81" s="79" t="s">
        <v>397</v>
      </c>
      <c r="G81" s="79" t="s">
        <v>397</v>
      </c>
      <c r="H81" s="79" t="s">
        <v>397</v>
      </c>
      <c r="I81" s="79" t="s">
        <v>397</v>
      </c>
    </row>
    <row r="82" spans="2:10" s="25" customFormat="1" x14ac:dyDescent="0.3">
      <c r="B82" s="52"/>
      <c r="C82" s="180"/>
      <c r="D82" s="25" t="s">
        <v>171</v>
      </c>
      <c r="E82" s="19"/>
      <c r="F82" s="380">
        <f>'Other Inputs (AUD)'!F81*'Other inputs (IDR)'!$F$6</f>
        <v>26208.8122</v>
      </c>
      <c r="G82" s="380">
        <f>'Other Inputs (AUD)'!G81*'Other inputs (IDR)'!$F$6</f>
        <v>295210.28230000002</v>
      </c>
      <c r="H82" s="380">
        <f>'Other Inputs (AUD)'!H81*'Other inputs (IDR)'!$F$6</f>
        <v>309.55290000000002</v>
      </c>
      <c r="I82" s="380">
        <f>'Other Inputs (AUD)'!I81*'Other inputs (IDR)'!$F$6</f>
        <v>0</v>
      </c>
    </row>
    <row r="83" spans="2:10" s="25" customFormat="1" x14ac:dyDescent="0.3">
      <c r="B83" s="52"/>
      <c r="C83" s="180"/>
      <c r="D83" s="25" t="s">
        <v>172</v>
      </c>
      <c r="E83" s="19"/>
      <c r="F83" s="380">
        <f>'Other Inputs (AUD)'!F82*'Other inputs (IDR)'!$F$6</f>
        <v>20636.86</v>
      </c>
      <c r="G83" s="380">
        <f>'Other Inputs (AUD)'!G82*'Other inputs (IDR)'!$F$6</f>
        <v>121654.28969999999</v>
      </c>
      <c r="H83" s="380">
        <f>'Other Inputs (AUD)'!H82*'Other inputs (IDR)'!$F$6</f>
        <v>20636.86</v>
      </c>
      <c r="I83" s="380">
        <f>'Other Inputs (AUD)'!I82*'Other inputs (IDR)'!$F$6</f>
        <v>121654.28969999999</v>
      </c>
    </row>
    <row r="84" spans="2:10" s="25" customFormat="1" x14ac:dyDescent="0.3">
      <c r="B84" s="52"/>
      <c r="C84" s="180"/>
      <c r="D84" s="25" t="s">
        <v>173</v>
      </c>
      <c r="E84" s="19"/>
      <c r="F84" s="380">
        <f>'Other Inputs (AUD)'!F83*'Other inputs (IDR)'!$F$6</f>
        <v>8461.1126000000004</v>
      </c>
      <c r="G84" s="380">
        <f>'Other Inputs (AUD)'!G83*'Other inputs (IDR)'!$F$6</f>
        <v>20636.86</v>
      </c>
      <c r="H84" s="380">
        <f>'Other Inputs (AUD)'!H83*'Other inputs (IDR)'!$F$6</f>
        <v>0</v>
      </c>
      <c r="I84" s="380">
        <f>'Other Inputs (AUD)'!I83*'Other inputs (IDR)'!$F$6</f>
        <v>0</v>
      </c>
    </row>
    <row r="85" spans="2:10" s="25" customFormat="1" x14ac:dyDescent="0.3">
      <c r="B85" s="52"/>
      <c r="C85" s="180"/>
      <c r="D85" s="25" t="s">
        <v>174</v>
      </c>
      <c r="E85" s="19"/>
      <c r="F85" s="380">
        <f>'Other Inputs (AUD)'!F84*'Other inputs (IDR)'!$F$6</f>
        <v>3921.0034000000001</v>
      </c>
      <c r="G85" s="380">
        <f>'Other Inputs (AUD)'!G84*'Other inputs (IDR)'!$F$6</f>
        <v>44266.064700000003</v>
      </c>
      <c r="H85" s="380">
        <f>'Other Inputs (AUD)'!H84*'Other inputs (IDR)'!$F$6</f>
        <v>412.73720000000003</v>
      </c>
      <c r="I85" s="380">
        <f>'Other Inputs (AUD)'!I84*'Other inputs (IDR)'!$F$6</f>
        <v>412.73720000000003</v>
      </c>
    </row>
    <row r="86" spans="2:10" s="25" customFormat="1" x14ac:dyDescent="0.3">
      <c r="B86" s="52"/>
      <c r="C86" s="180"/>
      <c r="D86" s="25" t="s">
        <v>175</v>
      </c>
      <c r="E86" s="19"/>
      <c r="F86" s="380">
        <f>'Other Inputs (AUD)'!F85*'Other inputs (IDR)'!$F$6</f>
        <v>515.92150000000004</v>
      </c>
      <c r="G86" s="380">
        <f>'Other Inputs (AUD)'!G85*'Other inputs (IDR)'!$F$6</f>
        <v>1341.3959</v>
      </c>
      <c r="H86" s="380">
        <f>'Other Inputs (AUD)'!H85*'Other inputs (IDR)'!$F$6</f>
        <v>4849.6620999999996</v>
      </c>
      <c r="I86" s="380">
        <f>'Other Inputs (AUD)'!I85*'Other inputs (IDR)'!$F$6</f>
        <v>13413.959000000001</v>
      </c>
    </row>
    <row r="87" spans="2:10" s="29" customFormat="1" x14ac:dyDescent="0.3">
      <c r="B87" s="28"/>
      <c r="C87" s="179"/>
      <c r="E87" s="19"/>
    </row>
    <row r="88" spans="2:10" s="134" customFormat="1" x14ac:dyDescent="0.3">
      <c r="B88" s="135"/>
      <c r="C88" s="136"/>
      <c r="D88" s="134" t="str">
        <f xml:space="preserve"> D$8</f>
        <v>Inflation (1 IDR in 2007 vs 1 IDR in 2023)</v>
      </c>
      <c r="E88" s="19"/>
      <c r="F88" s="134">
        <f xml:space="preserve"> F$8</f>
        <v>2.04</v>
      </c>
      <c r="G88" s="134" t="str">
        <f xml:space="preserve"> G$8</f>
        <v>index</v>
      </c>
      <c r="H88" s="136"/>
    </row>
    <row r="89" spans="2:10" s="134" customFormat="1" x14ac:dyDescent="0.3">
      <c r="B89" s="135"/>
      <c r="C89" s="136"/>
      <c r="D89" s="28" t="s">
        <v>333</v>
      </c>
      <c r="E89" s="19"/>
      <c r="F89" s="79" t="s">
        <v>397</v>
      </c>
      <c r="G89" s="79" t="s">
        <v>397</v>
      </c>
      <c r="H89" s="79" t="s">
        <v>397</v>
      </c>
      <c r="I89" s="79" t="s">
        <v>397</v>
      </c>
    </row>
    <row r="90" spans="2:10" s="25" customFormat="1" x14ac:dyDescent="0.3">
      <c r="B90" s="52"/>
      <c r="C90" s="180"/>
      <c r="D90" s="25" t="s">
        <v>171</v>
      </c>
      <c r="E90" s="19"/>
      <c r="F90" s="343">
        <f t="shared" ref="F90:I94" si="3">F82*$F$88</f>
        <v>53465.976888000005</v>
      </c>
      <c r="G90" s="344">
        <f t="shared" si="3"/>
        <v>602228.97589200002</v>
      </c>
      <c r="H90" s="344">
        <f t="shared" si="3"/>
        <v>631.48791600000004</v>
      </c>
      <c r="I90" s="344">
        <f t="shared" si="3"/>
        <v>0</v>
      </c>
    </row>
    <row r="91" spans="2:10" s="25" customFormat="1" x14ac:dyDescent="0.3">
      <c r="B91" s="52"/>
      <c r="C91" s="180"/>
      <c r="D91" s="25" t="s">
        <v>172</v>
      </c>
      <c r="E91" s="19"/>
      <c r="F91" s="343">
        <f t="shared" si="3"/>
        <v>42099.1944</v>
      </c>
      <c r="G91" s="344">
        <f t="shared" si="3"/>
        <v>248174.75098799999</v>
      </c>
      <c r="H91" s="344">
        <f t="shared" si="3"/>
        <v>42099.1944</v>
      </c>
      <c r="I91" s="344">
        <f t="shared" si="3"/>
        <v>248174.75098799999</v>
      </c>
    </row>
    <row r="92" spans="2:10" s="25" customFormat="1" x14ac:dyDescent="0.3">
      <c r="B92" s="52"/>
      <c r="C92" s="180"/>
      <c r="D92" s="25" t="s">
        <v>173</v>
      </c>
      <c r="E92" s="19"/>
      <c r="F92" s="343">
        <f t="shared" si="3"/>
        <v>17260.669704</v>
      </c>
      <c r="G92" s="344">
        <f t="shared" si="3"/>
        <v>42099.1944</v>
      </c>
      <c r="H92" s="344">
        <f t="shared" si="3"/>
        <v>0</v>
      </c>
      <c r="I92" s="344">
        <f t="shared" si="3"/>
        <v>0</v>
      </c>
    </row>
    <row r="93" spans="2:10" s="25" customFormat="1" x14ac:dyDescent="0.3">
      <c r="B93" s="52"/>
      <c r="C93" s="180"/>
      <c r="D93" s="25" t="s">
        <v>174</v>
      </c>
      <c r="E93" s="19"/>
      <c r="F93" s="343">
        <f t="shared" si="3"/>
        <v>7998.8469359999999</v>
      </c>
      <c r="G93" s="344">
        <f t="shared" si="3"/>
        <v>90302.771988000008</v>
      </c>
      <c r="H93" s="344">
        <f t="shared" si="3"/>
        <v>841.98388800000009</v>
      </c>
      <c r="I93" s="344">
        <f t="shared" si="3"/>
        <v>841.98388800000009</v>
      </c>
    </row>
    <row r="94" spans="2:10" s="25" customFormat="1" x14ac:dyDescent="0.3">
      <c r="B94" s="52"/>
      <c r="C94" s="180"/>
      <c r="D94" s="25" t="s">
        <v>175</v>
      </c>
      <c r="E94" s="19"/>
      <c r="F94" s="343">
        <f t="shared" si="3"/>
        <v>1052.4798600000001</v>
      </c>
      <c r="G94" s="344">
        <f t="shared" si="3"/>
        <v>2736.4476359999999</v>
      </c>
      <c r="H94" s="344">
        <f t="shared" si="3"/>
        <v>9893.310684</v>
      </c>
      <c r="I94" s="344">
        <f t="shared" si="3"/>
        <v>27364.476360000001</v>
      </c>
    </row>
    <row r="95" spans="2:10" s="29" customFormat="1" x14ac:dyDescent="0.3">
      <c r="B95" s="28"/>
      <c r="C95" s="179"/>
      <c r="E95" s="19"/>
    </row>
    <row r="96" spans="2:10" s="29" customFormat="1" x14ac:dyDescent="0.3">
      <c r="B96" s="28"/>
      <c r="C96" s="179" t="s">
        <v>176</v>
      </c>
      <c r="E96" s="19"/>
      <c r="F96" s="28"/>
      <c r="G96" s="28"/>
      <c r="H96" s="28"/>
      <c r="I96" s="28"/>
      <c r="J96" s="136"/>
    </row>
    <row r="97" spans="2:9" s="29" customFormat="1" x14ac:dyDescent="0.3">
      <c r="B97" s="28"/>
      <c r="C97" s="179"/>
      <c r="E97" s="38">
        <f xml:space="preserve"> 'References &amp; Notes'!B$6</f>
        <v>3</v>
      </c>
      <c r="F97" s="28" t="s">
        <v>167</v>
      </c>
      <c r="G97" s="28"/>
      <c r="H97" s="28" t="s">
        <v>168</v>
      </c>
      <c r="I97" s="28"/>
    </row>
    <row r="98" spans="2:9" s="29" customFormat="1" x14ac:dyDescent="0.3">
      <c r="B98" s="28"/>
      <c r="C98" s="179"/>
      <c r="E98" s="19"/>
      <c r="F98" s="73" t="s">
        <v>177</v>
      </c>
      <c r="G98" s="73" t="s">
        <v>178</v>
      </c>
      <c r="H98" s="73" t="s">
        <v>177</v>
      </c>
      <c r="I98" s="73" t="s">
        <v>178</v>
      </c>
    </row>
    <row r="99" spans="2:9" s="29" customFormat="1" x14ac:dyDescent="0.3">
      <c r="B99" s="28"/>
      <c r="C99" s="179"/>
      <c r="D99" s="28" t="s">
        <v>121</v>
      </c>
      <c r="E99" s="19"/>
      <c r="F99" s="136" t="s">
        <v>454</v>
      </c>
      <c r="G99" s="136" t="s">
        <v>454</v>
      </c>
      <c r="H99" s="136" t="s">
        <v>454</v>
      </c>
      <c r="I99" s="136" t="s">
        <v>454</v>
      </c>
    </row>
    <row r="100" spans="2:9" s="25" customFormat="1" x14ac:dyDescent="0.3">
      <c r="B100" s="52"/>
      <c r="C100" s="180"/>
      <c r="D100" s="25" t="s">
        <v>171</v>
      </c>
      <c r="E100" s="19"/>
      <c r="F100" s="380">
        <f>'Other Inputs (AUD)'!F99*'Other inputs (IDR)'!$F$6</f>
        <v>1639908.0799</v>
      </c>
      <c r="G100" s="380">
        <f>'Other Inputs (AUD)'!G99*'Other inputs (IDR)'!$F$6</f>
        <v>218647.53170000002</v>
      </c>
      <c r="H100" s="380">
        <f>'Other Inputs (AUD)'!H99*'Other inputs (IDR)'!$F$6</f>
        <v>0</v>
      </c>
      <c r="I100" s="380">
        <f>'Other Inputs (AUD)'!I99*'Other inputs (IDR)'!$F$6</f>
        <v>2166.8703</v>
      </c>
    </row>
    <row r="101" spans="2:9" s="25" customFormat="1" x14ac:dyDescent="0.3">
      <c r="B101" s="52"/>
      <c r="C101" s="180"/>
      <c r="D101" s="25" t="s">
        <v>172</v>
      </c>
      <c r="E101" s="19"/>
      <c r="F101" s="380">
        <f>'Other Inputs (AUD)'!F100*'Other inputs (IDR)'!$F$6</f>
        <v>510762.28500000003</v>
      </c>
      <c r="G101" s="380">
        <f>'Other Inputs (AUD)'!G100*'Other inputs (IDR)'!$F$6</f>
        <v>48599.8053</v>
      </c>
      <c r="H101" s="380">
        <f>'Other Inputs (AUD)'!H100*'Other inputs (IDR)'!$F$6</f>
        <v>510762.28500000003</v>
      </c>
      <c r="I101" s="380">
        <f>'Other Inputs (AUD)'!I100*'Other inputs (IDR)'!$F$6</f>
        <v>48599.8053</v>
      </c>
    </row>
    <row r="102" spans="2:9" s="25" customFormat="1" x14ac:dyDescent="0.3">
      <c r="B102" s="52"/>
      <c r="C102" s="180"/>
      <c r="D102" s="25" t="s">
        <v>173</v>
      </c>
      <c r="E102" s="19"/>
      <c r="F102" s="380">
        <f>'Other Inputs (AUD)'!F101*'Other inputs (IDR)'!$F$6</f>
        <v>279629.45300000004</v>
      </c>
      <c r="G102" s="380">
        <f>'Other Inputs (AUD)'!G101*'Other inputs (IDR)'!$F$6</f>
        <v>36527.242200000001</v>
      </c>
      <c r="H102" s="380">
        <f>'Other Inputs (AUD)'!H101*'Other inputs (IDR)'!$F$6</f>
        <v>0</v>
      </c>
      <c r="I102" s="380">
        <f>'Other Inputs (AUD)'!I101*'Other inputs (IDR)'!$F$6</f>
        <v>3611.4504999999999</v>
      </c>
    </row>
    <row r="103" spans="2:9" s="25" customFormat="1" x14ac:dyDescent="0.3">
      <c r="B103" s="52"/>
      <c r="C103" s="180"/>
      <c r="D103" s="25" t="s">
        <v>174</v>
      </c>
      <c r="E103" s="19"/>
      <c r="F103" s="380">
        <f>'Other Inputs (AUD)'!F102*'Other inputs (IDR)'!$F$6</f>
        <v>245991.37119999999</v>
      </c>
      <c r="G103" s="380">
        <f>'Other Inputs (AUD)'!G102*'Other inputs (IDR)'!$F$6</f>
        <v>32812.607400000001</v>
      </c>
      <c r="H103" s="380">
        <f>'Other Inputs (AUD)'!H102*'Other inputs (IDR)'!$F$6</f>
        <v>2476.4232000000002</v>
      </c>
      <c r="I103" s="380">
        <f>'Other Inputs (AUD)'!I102*'Other inputs (IDR)'!$F$6</f>
        <v>13104.4061</v>
      </c>
    </row>
    <row r="104" spans="2:9" s="25" customFormat="1" x14ac:dyDescent="0.3">
      <c r="B104" s="52"/>
      <c r="C104" s="180"/>
      <c r="D104" s="25" t="s">
        <v>175</v>
      </c>
      <c r="E104" s="19"/>
      <c r="F104" s="380">
        <f>'Other Inputs (AUD)'!F103*'Other inputs (IDR)'!$F$6</f>
        <v>182429.84239999999</v>
      </c>
      <c r="G104" s="380">
        <f>'Other Inputs (AUD)'!G103*'Other inputs (IDR)'!$F$6</f>
        <v>3611.4504999999999</v>
      </c>
      <c r="H104" s="380">
        <f>'Other Inputs (AUD)'!H103*'Other inputs (IDR)'!$F$6</f>
        <v>1857.3173999999999</v>
      </c>
      <c r="I104" s="380">
        <f>'Other Inputs (AUD)'!I103*'Other inputs (IDR)'!$F$6</f>
        <v>36527.242200000001</v>
      </c>
    </row>
    <row r="105" spans="2:9" s="29" customFormat="1" x14ac:dyDescent="0.3">
      <c r="B105" s="28"/>
      <c r="C105" s="179"/>
      <c r="E105" s="19"/>
    </row>
    <row r="106" spans="2:9" s="134" customFormat="1" x14ac:dyDescent="0.3">
      <c r="B106" s="135"/>
      <c r="C106" s="136"/>
      <c r="D106" s="134" t="str">
        <f xml:space="preserve"> D$8</f>
        <v>Inflation (1 IDR in 2007 vs 1 IDR in 2023)</v>
      </c>
      <c r="E106" s="19"/>
      <c r="F106" s="134">
        <f xml:space="preserve"> F$8</f>
        <v>2.04</v>
      </c>
      <c r="G106" s="134" t="str">
        <f xml:space="preserve"> G$8</f>
        <v>index</v>
      </c>
      <c r="H106" s="136"/>
    </row>
    <row r="107" spans="2:9" s="134" customFormat="1" x14ac:dyDescent="0.3">
      <c r="B107" s="135"/>
      <c r="C107" s="136"/>
      <c r="D107" s="28" t="s">
        <v>333</v>
      </c>
      <c r="E107" s="19"/>
      <c r="F107" s="136" t="s">
        <v>454</v>
      </c>
      <c r="G107" s="136" t="s">
        <v>454</v>
      </c>
      <c r="H107" s="136" t="s">
        <v>454</v>
      </c>
      <c r="I107" s="136" t="s">
        <v>454</v>
      </c>
    </row>
    <row r="108" spans="2:9" s="25" customFormat="1" x14ac:dyDescent="0.3">
      <c r="B108" s="52"/>
      <c r="C108" s="180"/>
      <c r="D108" s="25" t="s">
        <v>171</v>
      </c>
      <c r="E108" s="19"/>
      <c r="F108" s="343">
        <f t="shared" ref="F108:I112" si="4">F100*$F$106</f>
        <v>3345412.482996</v>
      </c>
      <c r="G108" s="344">
        <f t="shared" si="4"/>
        <v>446040.96466800006</v>
      </c>
      <c r="H108" s="344">
        <f t="shared" si="4"/>
        <v>0</v>
      </c>
      <c r="I108" s="344">
        <f t="shared" si="4"/>
        <v>4420.4154120000003</v>
      </c>
    </row>
    <row r="109" spans="2:9" s="25" customFormat="1" x14ac:dyDescent="0.3">
      <c r="B109" s="52"/>
      <c r="C109" s="180"/>
      <c r="D109" s="25" t="s">
        <v>172</v>
      </c>
      <c r="E109" s="19"/>
      <c r="F109" s="343">
        <f t="shared" si="4"/>
        <v>1041955.0614000001</v>
      </c>
      <c r="G109" s="344">
        <f t="shared" si="4"/>
        <v>99143.602811999997</v>
      </c>
      <c r="H109" s="344">
        <f t="shared" si="4"/>
        <v>1041955.0614000001</v>
      </c>
      <c r="I109" s="344">
        <f t="shared" si="4"/>
        <v>99143.602811999997</v>
      </c>
    </row>
    <row r="110" spans="2:9" s="25" customFormat="1" x14ac:dyDescent="0.3">
      <c r="B110" s="52"/>
      <c r="C110" s="180"/>
      <c r="D110" s="25" t="s">
        <v>173</v>
      </c>
      <c r="E110" s="19"/>
      <c r="F110" s="343">
        <f t="shared" si="4"/>
        <v>570444.08412000013</v>
      </c>
      <c r="G110" s="344">
        <f t="shared" si="4"/>
        <v>74515.574088000008</v>
      </c>
      <c r="H110" s="344">
        <f t="shared" si="4"/>
        <v>0</v>
      </c>
      <c r="I110" s="344">
        <f t="shared" si="4"/>
        <v>7367.3590199999999</v>
      </c>
    </row>
    <row r="111" spans="2:9" s="25" customFormat="1" x14ac:dyDescent="0.3">
      <c r="B111" s="52"/>
      <c r="C111" s="180"/>
      <c r="D111" s="25" t="s">
        <v>174</v>
      </c>
      <c r="E111" s="19"/>
      <c r="F111" s="343">
        <f t="shared" si="4"/>
        <v>501822.39724800002</v>
      </c>
      <c r="G111" s="344">
        <f t="shared" si="4"/>
        <v>66937.719096000001</v>
      </c>
      <c r="H111" s="344">
        <f t="shared" si="4"/>
        <v>5051.9033280000003</v>
      </c>
      <c r="I111" s="344">
        <f t="shared" si="4"/>
        <v>26732.988444000002</v>
      </c>
    </row>
    <row r="112" spans="2:9" s="25" customFormat="1" x14ac:dyDescent="0.3">
      <c r="B112" s="52"/>
      <c r="C112" s="180"/>
      <c r="D112" s="25" t="s">
        <v>175</v>
      </c>
      <c r="E112" s="19"/>
      <c r="F112" s="343">
        <f t="shared" si="4"/>
        <v>372156.87849600002</v>
      </c>
      <c r="G112" s="344">
        <f t="shared" si="4"/>
        <v>7367.3590199999999</v>
      </c>
      <c r="H112" s="344">
        <f t="shared" si="4"/>
        <v>3788.9274959999998</v>
      </c>
      <c r="I112" s="344">
        <f t="shared" si="4"/>
        <v>74515.574088000008</v>
      </c>
    </row>
    <row r="113" spans="2:9" s="29" customFormat="1" x14ac:dyDescent="0.3">
      <c r="B113" s="28"/>
      <c r="C113" s="179"/>
      <c r="E113" s="19"/>
    </row>
    <row r="114" spans="2:9" s="29" customFormat="1" x14ac:dyDescent="0.3">
      <c r="B114" s="28"/>
      <c r="C114" s="179" t="s">
        <v>179</v>
      </c>
      <c r="E114" s="19"/>
    </row>
    <row r="115" spans="2:9" s="75" customFormat="1" x14ac:dyDescent="0.3">
      <c r="B115" s="142"/>
      <c r="C115" s="181"/>
      <c r="D115" s="75" t="s">
        <v>180</v>
      </c>
      <c r="E115" s="301">
        <f xml:space="preserve"> 'References &amp; Notes'!B$7</f>
        <v>4</v>
      </c>
    </row>
    <row r="116" spans="2:9" s="75" customFormat="1" x14ac:dyDescent="0.3">
      <c r="B116" s="142"/>
      <c r="C116" s="181"/>
      <c r="D116" s="75" t="s">
        <v>181</v>
      </c>
      <c r="E116" s="301">
        <f xml:space="preserve"> 'References &amp; Notes'!B$8</f>
        <v>5</v>
      </c>
    </row>
    <row r="117" spans="2:9" s="75" customFormat="1" x14ac:dyDescent="0.3">
      <c r="B117" s="142"/>
      <c r="C117" s="181"/>
      <c r="D117" s="75" t="s">
        <v>182</v>
      </c>
      <c r="E117" s="301">
        <f xml:space="preserve"> 'References &amp; Notes'!B$9</f>
        <v>6</v>
      </c>
    </row>
    <row r="118" spans="2:9" s="75" customFormat="1" x14ac:dyDescent="0.3">
      <c r="B118" s="142"/>
      <c r="C118" s="181"/>
      <c r="D118" s="75" t="s">
        <v>183</v>
      </c>
      <c r="E118" s="301">
        <f xml:space="preserve"> 'References &amp; Notes'!B$10</f>
        <v>7</v>
      </c>
    </row>
    <row r="119" spans="2:9" s="75" customFormat="1" x14ac:dyDescent="0.3">
      <c r="B119" s="142"/>
      <c r="C119" s="181"/>
      <c r="D119" s="75" t="s">
        <v>184</v>
      </c>
      <c r="E119" s="301">
        <f xml:space="preserve"> 'References &amp; Notes'!B$11</f>
        <v>8</v>
      </c>
    </row>
    <row r="121" spans="2:9" s="19" customFormat="1" x14ac:dyDescent="0.3">
      <c r="B121" s="15" t="s">
        <v>185</v>
      </c>
      <c r="C121" s="154"/>
      <c r="F121" s="20"/>
      <c r="H121" s="143"/>
      <c r="I121" s="143"/>
    </row>
    <row r="122" spans="2:9" s="134" customFormat="1" x14ac:dyDescent="0.3">
      <c r="B122" s="135"/>
      <c r="C122" s="136"/>
      <c r="D122" s="134" t="str">
        <f xml:space="preserve"> D$7</f>
        <v>Inflation (1 IDR in 2020 vs 1 IDR in 2023)</v>
      </c>
      <c r="E122" s="19"/>
      <c r="F122" s="134">
        <f xml:space="preserve"> F$7</f>
        <v>1.1000000000000001</v>
      </c>
      <c r="G122" s="134" t="str">
        <f xml:space="preserve"> G$7</f>
        <v>index</v>
      </c>
      <c r="H122" s="136"/>
    </row>
    <row r="123" spans="2:9" s="25" customFormat="1" x14ac:dyDescent="0.3">
      <c r="B123" s="52"/>
      <c r="C123" s="180"/>
      <c r="D123" s="25" t="str">
        <f xml:space="preserve"> D$5</f>
        <v>Exchange rate USD to IDR</v>
      </c>
      <c r="F123" s="340">
        <f xml:space="preserve"> F$5</f>
        <v>15612</v>
      </c>
      <c r="G123" s="25" t="str">
        <f t="shared" ref="G123" si="5" xml:space="preserve"> G$5</f>
        <v>IDR/USD</v>
      </c>
      <c r="H123" s="180"/>
    </row>
    <row r="124" spans="2:9" s="76" customFormat="1" x14ac:dyDescent="0.3">
      <c r="B124" s="18"/>
      <c r="C124" s="182"/>
      <c r="E124" s="38">
        <f xml:space="preserve"> 'References &amp; Notes'!B$12</f>
        <v>9</v>
      </c>
      <c r="F124" s="77" t="s">
        <v>186</v>
      </c>
      <c r="G124" s="74" t="s">
        <v>187</v>
      </c>
      <c r="H124" s="74" t="s">
        <v>187</v>
      </c>
      <c r="I124" s="74" t="s">
        <v>187</v>
      </c>
    </row>
    <row r="125" spans="2:9" s="76" customFormat="1" x14ac:dyDescent="0.3">
      <c r="B125" s="18"/>
      <c r="C125" s="182"/>
      <c r="D125" s="23"/>
      <c r="E125" s="19"/>
      <c r="F125" s="171" t="s">
        <v>188</v>
      </c>
      <c r="G125" s="171" t="s">
        <v>189</v>
      </c>
      <c r="H125" s="246" t="s">
        <v>333</v>
      </c>
      <c r="I125" s="246" t="s">
        <v>333</v>
      </c>
    </row>
    <row r="126" spans="2:9" s="76" customFormat="1" x14ac:dyDescent="0.3">
      <c r="B126" s="18"/>
      <c r="C126" s="182"/>
      <c r="D126" s="28" t="s">
        <v>333</v>
      </c>
      <c r="E126" s="19"/>
      <c r="F126" s="81" t="s">
        <v>190</v>
      </c>
      <c r="G126" s="81" t="s">
        <v>191</v>
      </c>
      <c r="H126" s="81" t="s">
        <v>191</v>
      </c>
      <c r="I126" s="81" t="s">
        <v>398</v>
      </c>
    </row>
    <row r="127" spans="2:9" s="76" customFormat="1" ht="5.0999999999999996" customHeight="1" x14ac:dyDescent="0.3">
      <c r="B127" s="18"/>
      <c r="C127" s="182"/>
      <c r="D127" s="262"/>
      <c r="E127" s="245"/>
      <c r="F127" s="263"/>
      <c r="G127" s="263"/>
      <c r="H127" s="263"/>
      <c r="I127" s="263"/>
    </row>
    <row r="128" spans="2:9" x14ac:dyDescent="0.3">
      <c r="B128" s="15"/>
      <c r="D128" t="s">
        <v>193</v>
      </c>
      <c r="F128" s="144">
        <v>13.354600000000001</v>
      </c>
      <c r="G128" s="145">
        <v>659.8</v>
      </c>
      <c r="H128" s="9">
        <f t="shared" ref="H128:H155" si="6" xml:space="preserve"> G128 * $F$122</f>
        <v>725.78</v>
      </c>
      <c r="I128" s="345">
        <f t="shared" ref="I128:I155" si="7" xml:space="preserve"> H128 * $F$123</f>
        <v>11330877.359999999</v>
      </c>
    </row>
    <row r="129" spans="2:10" x14ac:dyDescent="0.3">
      <c r="B129" s="15"/>
      <c r="D129" t="s">
        <v>334</v>
      </c>
      <c r="F129" s="144">
        <v>21.4817</v>
      </c>
      <c r="G129" s="145">
        <v>403.3</v>
      </c>
      <c r="H129" s="9">
        <f t="shared" si="6"/>
        <v>443.63000000000005</v>
      </c>
      <c r="I129" s="345">
        <f t="shared" si="7"/>
        <v>6925951.5600000005</v>
      </c>
      <c r="J129" s="9"/>
    </row>
    <row r="130" spans="2:10" x14ac:dyDescent="0.3">
      <c r="B130" s="15"/>
      <c r="D130" t="s">
        <v>335</v>
      </c>
      <c r="F130" s="144">
        <v>16.827999999999999</v>
      </c>
      <c r="G130" s="145">
        <v>546.6</v>
      </c>
      <c r="H130" s="9">
        <f t="shared" si="6"/>
        <v>601.2600000000001</v>
      </c>
      <c r="I130" s="345">
        <f t="shared" si="7"/>
        <v>9386871.120000001</v>
      </c>
      <c r="J130" s="9"/>
    </row>
    <row r="131" spans="2:10" x14ac:dyDescent="0.3">
      <c r="B131" s="15"/>
      <c r="D131" t="s">
        <v>199</v>
      </c>
      <c r="F131" s="144">
        <v>16.476900000000001</v>
      </c>
      <c r="G131" s="145">
        <v>611.29999999999995</v>
      </c>
      <c r="H131" s="9">
        <f t="shared" si="6"/>
        <v>672.43</v>
      </c>
      <c r="I131" s="345">
        <f t="shared" si="7"/>
        <v>10497977.16</v>
      </c>
      <c r="J131" s="9"/>
    </row>
    <row r="132" spans="2:10" x14ac:dyDescent="0.3">
      <c r="B132" s="15"/>
      <c r="D132" t="s">
        <v>336</v>
      </c>
      <c r="F132" s="144">
        <v>0.3458</v>
      </c>
      <c r="G132" s="145">
        <v>1020.8</v>
      </c>
      <c r="H132" s="9">
        <f t="shared" si="6"/>
        <v>1122.8800000000001</v>
      </c>
      <c r="I132" s="345">
        <f t="shared" si="7"/>
        <v>17530402.560000002</v>
      </c>
      <c r="J132" s="9"/>
    </row>
    <row r="133" spans="2:10" x14ac:dyDescent="0.3">
      <c r="B133" s="15"/>
      <c r="D133" t="s">
        <v>337</v>
      </c>
      <c r="F133" s="144">
        <v>26.0381</v>
      </c>
      <c r="G133" s="145">
        <v>214</v>
      </c>
      <c r="H133" s="9">
        <f t="shared" si="6"/>
        <v>235.4</v>
      </c>
      <c r="I133" s="345">
        <f t="shared" si="7"/>
        <v>3675064.8000000003</v>
      </c>
      <c r="J133" s="9"/>
    </row>
    <row r="134" spans="2:10" x14ac:dyDescent="0.3">
      <c r="B134" s="15"/>
      <c r="D134" t="s">
        <v>338</v>
      </c>
      <c r="F134" s="144">
        <v>0.47760000000000002</v>
      </c>
      <c r="G134" s="145">
        <v>1402.2</v>
      </c>
      <c r="H134" s="9">
        <f t="shared" si="6"/>
        <v>1542.42</v>
      </c>
      <c r="I134" s="345">
        <f t="shared" si="7"/>
        <v>24080261.040000003</v>
      </c>
      <c r="J134" s="9"/>
    </row>
    <row r="135" spans="2:10" x14ac:dyDescent="0.3">
      <c r="B135" s="15"/>
      <c r="D135" t="s">
        <v>339</v>
      </c>
      <c r="F135" s="144">
        <v>0.60970000000000002</v>
      </c>
      <c r="G135" s="145">
        <v>1399.2</v>
      </c>
      <c r="H135" s="9">
        <f t="shared" si="6"/>
        <v>1539.1200000000001</v>
      </c>
      <c r="I135" s="345">
        <f t="shared" si="7"/>
        <v>24028741.440000001</v>
      </c>
      <c r="J135" s="9"/>
    </row>
    <row r="136" spans="2:10" x14ac:dyDescent="0.3">
      <c r="B136" s="15"/>
      <c r="D136" t="s">
        <v>340</v>
      </c>
      <c r="F136" s="144">
        <v>10.759</v>
      </c>
      <c r="G136" s="145">
        <v>281.8</v>
      </c>
      <c r="H136" s="9">
        <f t="shared" si="6"/>
        <v>309.98</v>
      </c>
      <c r="I136" s="345">
        <f t="shared" si="7"/>
        <v>4839407.7600000007</v>
      </c>
      <c r="J136" s="9"/>
    </row>
    <row r="137" spans="2:10" x14ac:dyDescent="0.3">
      <c r="B137" s="15"/>
      <c r="D137" t="s">
        <v>341</v>
      </c>
      <c r="F137" s="144">
        <v>13.1355</v>
      </c>
      <c r="G137" s="145">
        <v>340</v>
      </c>
      <c r="H137" s="9">
        <f t="shared" si="6"/>
        <v>374.00000000000006</v>
      </c>
      <c r="I137" s="345">
        <f t="shared" si="7"/>
        <v>5838888.0000000009</v>
      </c>
      <c r="J137" s="9"/>
    </row>
    <row r="138" spans="2:10" x14ac:dyDescent="0.3">
      <c r="B138" s="15"/>
      <c r="D138" t="s">
        <v>342</v>
      </c>
      <c r="F138" s="144">
        <v>6.3902999999999999</v>
      </c>
      <c r="G138" s="145">
        <v>1854.7</v>
      </c>
      <c r="H138" s="9">
        <f t="shared" si="6"/>
        <v>2040.1700000000003</v>
      </c>
      <c r="I138" s="345">
        <f t="shared" si="7"/>
        <v>31851134.040000003</v>
      </c>
      <c r="J138" s="9"/>
    </row>
    <row r="139" spans="2:10" x14ac:dyDescent="0.3">
      <c r="B139" s="15"/>
      <c r="D139" t="s">
        <v>343</v>
      </c>
      <c r="F139" s="144">
        <v>1.9697</v>
      </c>
      <c r="G139" s="145">
        <v>1074.9000000000001</v>
      </c>
      <c r="H139" s="9">
        <f t="shared" si="6"/>
        <v>1182.3900000000001</v>
      </c>
      <c r="I139" s="345">
        <f t="shared" si="7"/>
        <v>18459472.68</v>
      </c>
      <c r="J139" s="9"/>
    </row>
    <row r="140" spans="2:10" x14ac:dyDescent="0.3">
      <c r="B140" s="15"/>
      <c r="D140" t="s">
        <v>344</v>
      </c>
      <c r="F140" s="378">
        <f>'WestKalimant Data (IDR)'!C13</f>
        <v>4.3540000000000001</v>
      </c>
      <c r="G140" s="145">
        <v>335.2</v>
      </c>
      <c r="H140" s="9">
        <f xml:space="preserve"> G140 * $F$122</f>
        <v>368.72</v>
      </c>
      <c r="I140" s="345">
        <f t="shared" si="7"/>
        <v>5756456.6400000006</v>
      </c>
      <c r="J140" s="9"/>
    </row>
    <row r="141" spans="2:10" x14ac:dyDescent="0.3">
      <c r="B141" s="15"/>
      <c r="D141" t="s">
        <v>345</v>
      </c>
      <c r="F141" s="144">
        <v>13.2942</v>
      </c>
      <c r="G141" s="145">
        <v>663</v>
      </c>
      <c r="H141" s="9">
        <f t="shared" si="6"/>
        <v>729.30000000000007</v>
      </c>
      <c r="I141" s="345">
        <f t="shared" si="7"/>
        <v>11385831.600000001</v>
      </c>
      <c r="J141" s="9"/>
    </row>
    <row r="142" spans="2:10" x14ac:dyDescent="0.3">
      <c r="B142" s="15"/>
      <c r="D142" t="s">
        <v>346</v>
      </c>
      <c r="F142" s="144">
        <v>0.81510000000000005</v>
      </c>
      <c r="G142" s="145">
        <v>440</v>
      </c>
      <c r="H142" s="9">
        <f t="shared" si="6"/>
        <v>484.00000000000006</v>
      </c>
      <c r="I142" s="345">
        <f t="shared" si="7"/>
        <v>7556208.0000000009</v>
      </c>
      <c r="J142" s="9"/>
    </row>
    <row r="143" spans="2:10" x14ac:dyDescent="0.3">
      <c r="B143" s="15"/>
      <c r="D143" t="s">
        <v>347</v>
      </c>
      <c r="F143" s="144">
        <v>0.1512</v>
      </c>
      <c r="G143" s="145">
        <v>2850.7</v>
      </c>
      <c r="H143" s="9">
        <f t="shared" si="6"/>
        <v>3135.77</v>
      </c>
      <c r="I143" s="345">
        <f t="shared" si="7"/>
        <v>48955641.240000002</v>
      </c>
      <c r="J143" s="9"/>
    </row>
    <row r="144" spans="2:10" x14ac:dyDescent="0.3">
      <c r="B144" s="15"/>
      <c r="D144" t="s">
        <v>348</v>
      </c>
      <c r="F144" s="144">
        <v>17.2349</v>
      </c>
      <c r="G144" s="145">
        <v>80.2</v>
      </c>
      <c r="H144" s="9">
        <f t="shared" si="6"/>
        <v>88.220000000000013</v>
      </c>
      <c r="I144" s="345">
        <f t="shared" si="7"/>
        <v>1377290.6400000001</v>
      </c>
      <c r="J144" s="9"/>
    </row>
    <row r="145" spans="2:10" x14ac:dyDescent="0.3">
      <c r="B145" s="15"/>
      <c r="D145" t="s">
        <v>349</v>
      </c>
      <c r="F145" s="144">
        <v>9.7134</v>
      </c>
      <c r="G145" s="145">
        <v>1829.9</v>
      </c>
      <c r="H145" s="9">
        <f t="shared" si="6"/>
        <v>2012.8900000000003</v>
      </c>
      <c r="I145" s="345">
        <f t="shared" si="7"/>
        <v>31425238.680000003</v>
      </c>
      <c r="J145" s="9"/>
    </row>
    <row r="146" spans="2:10" x14ac:dyDescent="0.3">
      <c r="B146" s="15"/>
      <c r="D146" t="s">
        <v>211</v>
      </c>
      <c r="F146" s="144">
        <v>38.152000000000001</v>
      </c>
      <c r="G146" s="145">
        <v>609.70000000000005</v>
      </c>
      <c r="H146" s="9">
        <f t="shared" si="6"/>
        <v>670.67000000000007</v>
      </c>
      <c r="I146" s="345">
        <f t="shared" si="7"/>
        <v>10470500.040000001</v>
      </c>
      <c r="J146" s="9"/>
    </row>
    <row r="147" spans="2:10" x14ac:dyDescent="0.3">
      <c r="B147" s="15"/>
      <c r="D147" t="s">
        <v>350</v>
      </c>
      <c r="F147" s="144">
        <v>7.7499000000000002</v>
      </c>
      <c r="G147" s="145">
        <v>1081.5999999999999</v>
      </c>
      <c r="H147" s="9">
        <f t="shared" si="6"/>
        <v>1189.76</v>
      </c>
      <c r="I147" s="345">
        <f t="shared" si="7"/>
        <v>18574533.120000001</v>
      </c>
      <c r="J147" s="9"/>
    </row>
    <row r="148" spans="2:10" x14ac:dyDescent="0.3">
      <c r="B148" s="15"/>
      <c r="D148" t="s">
        <v>351</v>
      </c>
      <c r="F148" s="144">
        <v>94.382800000000003</v>
      </c>
      <c r="G148" s="145">
        <v>289.60000000000002</v>
      </c>
      <c r="H148" s="9">
        <f t="shared" si="6"/>
        <v>318.56000000000006</v>
      </c>
      <c r="I148" s="345">
        <f t="shared" si="7"/>
        <v>4973358.7200000007</v>
      </c>
      <c r="J148" s="9"/>
    </row>
    <row r="149" spans="2:10" x14ac:dyDescent="0.3">
      <c r="B149" s="15"/>
      <c r="D149" t="s">
        <v>352</v>
      </c>
      <c r="F149" s="144">
        <v>0.44940000000000002</v>
      </c>
      <c r="G149" s="145">
        <v>4846.1000000000004</v>
      </c>
      <c r="H149" s="9">
        <f t="shared" si="6"/>
        <v>5330.7100000000009</v>
      </c>
      <c r="I149" s="345">
        <f t="shared" si="7"/>
        <v>83223044.520000011</v>
      </c>
      <c r="J149" s="9"/>
    </row>
    <row r="150" spans="2:10" x14ac:dyDescent="0.3">
      <c r="B150" s="15"/>
      <c r="D150" t="s">
        <v>215</v>
      </c>
      <c r="F150" s="144">
        <v>19.548100000000002</v>
      </c>
      <c r="G150" s="145">
        <v>710.7</v>
      </c>
      <c r="H150" s="9">
        <f t="shared" si="6"/>
        <v>781.7700000000001</v>
      </c>
      <c r="I150" s="345">
        <f t="shared" si="7"/>
        <v>12204993.240000002</v>
      </c>
      <c r="J150" s="9"/>
    </row>
    <row r="151" spans="2:10" x14ac:dyDescent="0.3">
      <c r="B151" s="15"/>
      <c r="D151" t="s">
        <v>353</v>
      </c>
      <c r="F151" s="378">
        <f>'WestKalimant Data (IDR)'!C12</f>
        <v>3.125</v>
      </c>
      <c r="G151" s="145">
        <v>355.8</v>
      </c>
      <c r="H151" s="9">
        <f t="shared" si="6"/>
        <v>391.38000000000005</v>
      </c>
      <c r="I151" s="345">
        <f t="shared" si="7"/>
        <v>6110224.5600000005</v>
      </c>
      <c r="J151" s="9"/>
    </row>
    <row r="152" spans="2:10" x14ac:dyDescent="0.3">
      <c r="B152" s="15"/>
      <c r="D152" t="s">
        <v>354</v>
      </c>
      <c r="F152" s="144">
        <v>1.4815</v>
      </c>
      <c r="G152" s="145">
        <v>615.4</v>
      </c>
      <c r="H152" s="9">
        <f t="shared" si="6"/>
        <v>676.94</v>
      </c>
      <c r="I152" s="345">
        <f t="shared" si="7"/>
        <v>10568387.280000001</v>
      </c>
      <c r="J152" s="9"/>
    </row>
    <row r="153" spans="2:10" x14ac:dyDescent="0.3">
      <c r="B153" s="15"/>
      <c r="D153" t="s">
        <v>355</v>
      </c>
      <c r="F153" s="144">
        <v>3.8179000000000003</v>
      </c>
      <c r="G153" s="145">
        <v>408.4</v>
      </c>
      <c r="H153" s="9">
        <f t="shared" si="6"/>
        <v>449.24</v>
      </c>
      <c r="I153" s="345">
        <f t="shared" si="7"/>
        <v>7013534.8799999999</v>
      </c>
      <c r="J153" s="9"/>
    </row>
    <row r="154" spans="2:10" x14ac:dyDescent="0.3">
      <c r="B154" s="15"/>
      <c r="D154" t="s">
        <v>356</v>
      </c>
      <c r="F154" s="144">
        <v>21.0261</v>
      </c>
      <c r="G154" s="145">
        <v>317.2</v>
      </c>
      <c r="H154" s="9">
        <f t="shared" si="6"/>
        <v>348.92</v>
      </c>
      <c r="I154" s="345">
        <f t="shared" si="7"/>
        <v>5447339.04</v>
      </c>
      <c r="J154" s="9"/>
    </row>
    <row r="155" spans="2:10" x14ac:dyDescent="0.3">
      <c r="B155" s="15"/>
      <c r="D155" t="s">
        <v>221</v>
      </c>
      <c r="F155" s="144">
        <v>18.933900000000001</v>
      </c>
      <c r="G155" s="145">
        <v>502.7</v>
      </c>
      <c r="H155" s="9">
        <f t="shared" si="6"/>
        <v>552.97</v>
      </c>
      <c r="I155" s="345">
        <f t="shared" si="7"/>
        <v>8632967.6400000006</v>
      </c>
      <c r="J155" s="9"/>
    </row>
    <row r="156" spans="2:10" s="76" customFormat="1" ht="5.0999999999999996" customHeight="1" x14ac:dyDescent="0.3">
      <c r="B156" s="18"/>
      <c r="C156" s="182"/>
      <c r="D156" s="262"/>
      <c r="E156" s="245"/>
      <c r="F156" s="263"/>
      <c r="G156" s="263">
        <v>324.5</v>
      </c>
      <c r="H156" s="263"/>
      <c r="I156" s="263"/>
      <c r="J156" s="76" t="s">
        <v>357</v>
      </c>
    </row>
    <row r="157" spans="2:10" x14ac:dyDescent="0.3">
      <c r="D157" s="3"/>
      <c r="F157" s="3"/>
      <c r="H157" s="3"/>
      <c r="I157" s="3"/>
    </row>
    <row r="158" spans="2:10" x14ac:dyDescent="0.3">
      <c r="D158" s="86" t="s">
        <v>223</v>
      </c>
      <c r="E158" s="19"/>
      <c r="F158" s="379">
        <f>'WestKalimant Data (IDR)'!C30</f>
        <v>12466</v>
      </c>
      <c r="G158" s="86" t="s">
        <v>224</v>
      </c>
      <c r="H158" s="3"/>
      <c r="I158" s="3"/>
    </row>
    <row r="159" spans="2:10" x14ac:dyDescent="0.3">
      <c r="D159" s="3"/>
      <c r="F159" s="3"/>
      <c r="H159" s="3"/>
      <c r="I159" s="3"/>
    </row>
    <row r="160" spans="2:10" s="47" customFormat="1" x14ac:dyDescent="0.3">
      <c r="B160" s="48" t="s">
        <v>225</v>
      </c>
      <c r="C160" s="175"/>
      <c r="E160" s="9"/>
    </row>
    <row r="161" spans="2:12" x14ac:dyDescent="0.3">
      <c r="D161" s="46" t="s">
        <v>226</v>
      </c>
      <c r="E161" s="10"/>
      <c r="F161" s="14">
        <v>100</v>
      </c>
      <c r="G161" s="47" t="s">
        <v>227</v>
      </c>
      <c r="H161" s="3"/>
      <c r="I161" s="3"/>
    </row>
    <row r="162" spans="2:12" s="25" customFormat="1" x14ac:dyDescent="0.3">
      <c r="B162" s="52"/>
      <c r="C162" s="180"/>
      <c r="D162" s="25" t="str">
        <f xml:space="preserve"> D$5</f>
        <v>Exchange rate USD to IDR</v>
      </c>
      <c r="F162" s="25">
        <f t="shared" ref="F162:G162" si="8" xml:space="preserve"> F$5</f>
        <v>15612</v>
      </c>
      <c r="G162" s="25" t="str">
        <f t="shared" si="8"/>
        <v>IDR/USD</v>
      </c>
      <c r="H162" s="180"/>
    </row>
    <row r="163" spans="2:12" s="25" customFormat="1" x14ac:dyDescent="0.3">
      <c r="B163" s="52"/>
      <c r="C163" s="180"/>
      <c r="D163" s="46" t="s">
        <v>226</v>
      </c>
      <c r="F163" s="25">
        <f xml:space="preserve"> F161 * F162</f>
        <v>1561200</v>
      </c>
      <c r="G163" s="25" t="s">
        <v>399</v>
      </c>
      <c r="H163" s="180"/>
    </row>
    <row r="164" spans="2:12" s="25" customFormat="1" x14ac:dyDescent="0.3">
      <c r="B164" s="52"/>
      <c r="C164" s="180"/>
      <c r="D164" s="46"/>
      <c r="H164" s="180"/>
    </row>
    <row r="165" spans="2:12" s="4" customFormat="1" x14ac:dyDescent="0.3">
      <c r="B165" s="15"/>
      <c r="C165" s="172"/>
      <c r="D165" s="46"/>
      <c r="E165" s="10"/>
      <c r="F165" s="25"/>
      <c r="G165" s="46"/>
      <c r="H165" s="337"/>
      <c r="I165" s="337"/>
    </row>
    <row r="166" spans="2:12" x14ac:dyDescent="0.3">
      <c r="D166" s="59" t="s">
        <v>229</v>
      </c>
      <c r="E166" s="10"/>
      <c r="F166" s="11">
        <v>0.02</v>
      </c>
      <c r="G166" s="55" t="s">
        <v>65</v>
      </c>
      <c r="H166" s="3"/>
      <c r="I166" s="3"/>
    </row>
    <row r="167" spans="2:12" x14ac:dyDescent="0.3">
      <c r="D167" s="3"/>
      <c r="F167" s="3"/>
      <c r="H167" s="3"/>
      <c r="I167" s="3"/>
    </row>
    <row r="168" spans="2:12" x14ac:dyDescent="0.3">
      <c r="B168" s="15" t="s">
        <v>230</v>
      </c>
      <c r="F168" s="9"/>
      <c r="H168" s="9"/>
    </row>
    <row r="169" spans="2:12" s="134" customFormat="1" x14ac:dyDescent="0.3">
      <c r="B169" s="135"/>
      <c r="C169" s="136"/>
      <c r="D169" s="134" t="str">
        <f xml:space="preserve"> D$7</f>
        <v>Inflation (1 IDR in 2020 vs 1 IDR in 2023)</v>
      </c>
      <c r="E169" s="19"/>
      <c r="F169" s="134">
        <f xml:space="preserve"> F$7</f>
        <v>1.1000000000000001</v>
      </c>
      <c r="G169" s="134" t="str">
        <f xml:space="preserve"> G$7</f>
        <v>index</v>
      </c>
      <c r="H169" s="136"/>
    </row>
    <row r="170" spans="2:12" s="25" customFormat="1" x14ac:dyDescent="0.3">
      <c r="B170" s="52"/>
      <c r="C170" s="180"/>
      <c r="D170" s="25" t="str">
        <f xml:space="preserve"> D$5</f>
        <v>Exchange rate USD to IDR</v>
      </c>
      <c r="F170" s="19">
        <f t="shared" ref="F170:G170" si="9" xml:space="preserve"> F$5</f>
        <v>15612</v>
      </c>
      <c r="G170" s="25" t="str">
        <f t="shared" si="9"/>
        <v>IDR/USD</v>
      </c>
      <c r="H170" s="180"/>
    </row>
    <row r="171" spans="2:12" s="22" customFormat="1" ht="28.8" x14ac:dyDescent="0.3">
      <c r="B171" s="23"/>
      <c r="C171" s="178"/>
      <c r="E171" s="38">
        <f xml:space="preserve"> 'References &amp; Notes'!B$12</f>
        <v>9</v>
      </c>
      <c r="F171" s="74" t="s">
        <v>231</v>
      </c>
      <c r="G171" s="74" t="s">
        <v>232</v>
      </c>
      <c r="H171" s="74" t="s">
        <v>232</v>
      </c>
      <c r="I171" s="74" t="s">
        <v>232</v>
      </c>
    </row>
    <row r="172" spans="2:12" s="15" customFormat="1" x14ac:dyDescent="0.3">
      <c r="C172" s="172"/>
      <c r="D172" s="146"/>
      <c r="E172" s="10"/>
      <c r="F172" s="171" t="s">
        <v>188</v>
      </c>
      <c r="G172" s="171" t="s">
        <v>189</v>
      </c>
      <c r="H172" s="171" t="s">
        <v>333</v>
      </c>
      <c r="I172" s="171" t="s">
        <v>333</v>
      </c>
    </row>
    <row r="173" spans="2:12" s="15" customFormat="1" x14ac:dyDescent="0.3">
      <c r="C173" s="172"/>
      <c r="D173" s="17" t="s">
        <v>233</v>
      </c>
      <c r="E173" s="19"/>
      <c r="F173" s="78" t="s">
        <v>234</v>
      </c>
      <c r="G173" s="78" t="s">
        <v>235</v>
      </c>
      <c r="H173" s="78" t="s">
        <v>235</v>
      </c>
      <c r="I173" s="78" t="s">
        <v>400</v>
      </c>
    </row>
    <row r="174" spans="2:12" s="76" customFormat="1" ht="5.0999999999999996" customHeight="1" x14ac:dyDescent="0.3">
      <c r="B174" s="18"/>
      <c r="C174" s="182"/>
      <c r="D174" s="262"/>
      <c r="E174" s="245"/>
      <c r="F174" s="263"/>
      <c r="G174" s="263"/>
      <c r="H174" s="263"/>
      <c r="I174" s="263"/>
    </row>
    <row r="175" spans="2:12" s="8" customFormat="1" x14ac:dyDescent="0.3">
      <c r="B175" s="21"/>
      <c r="C175" s="42"/>
      <c r="D175" s="347" t="s">
        <v>373</v>
      </c>
      <c r="F175" s="362">
        <f>'Non-road benefits calcs'!F187</f>
        <v>18050000</v>
      </c>
      <c r="G175" s="148">
        <v>3789925000</v>
      </c>
      <c r="H175" s="8">
        <f xml:space="preserve"> G175 * $F$169</f>
        <v>4168917500.0000005</v>
      </c>
      <c r="I175" s="8">
        <f xml:space="preserve"> H175 * $F$170</f>
        <v>65085140010000.008</v>
      </c>
      <c r="J175" s="9"/>
      <c r="L175" s="350"/>
    </row>
    <row r="176" spans="2:12" s="8" customFormat="1" x14ac:dyDescent="0.3">
      <c r="B176" s="21"/>
      <c r="C176" s="42"/>
      <c r="D176" s="347" t="s">
        <v>374</v>
      </c>
      <c r="F176" s="362">
        <f>'Non-road benefits calcs'!F196</f>
        <v>3482430000</v>
      </c>
      <c r="G176" s="148">
        <v>14333311000</v>
      </c>
      <c r="H176" s="8">
        <f>G176</f>
        <v>14333311000</v>
      </c>
      <c r="I176" s="8">
        <f xml:space="preserve"> H176 * $F$170</f>
        <v>223771651332000</v>
      </c>
      <c r="J176" s="9"/>
      <c r="L176" s="350"/>
    </row>
    <row r="177" spans="2:10" s="76" customFormat="1" ht="5.0999999999999996" customHeight="1" x14ac:dyDescent="0.3">
      <c r="B177" s="18"/>
      <c r="C177" s="182"/>
      <c r="D177" s="262"/>
      <c r="E177" s="245"/>
      <c r="F177" s="263"/>
      <c r="G177" s="263"/>
      <c r="H177" s="263"/>
      <c r="I177" s="263"/>
    </row>
    <row r="178" spans="2:10" x14ac:dyDescent="0.3">
      <c r="B178" s="15"/>
      <c r="D178" s="147"/>
      <c r="F178" s="3"/>
      <c r="G178" s="3"/>
      <c r="H178" s="3"/>
      <c r="I178" s="3"/>
      <c r="J178" s="3"/>
    </row>
    <row r="179" spans="2:10" s="29" customFormat="1" x14ac:dyDescent="0.3">
      <c r="B179" s="28"/>
      <c r="C179" s="179"/>
      <c r="D179" s="28" t="s">
        <v>240</v>
      </c>
      <c r="E179" s="19"/>
      <c r="G179" s="28"/>
      <c r="H179" s="28"/>
    </row>
    <row r="180" spans="2:10" s="31" customFormat="1" ht="43.2" x14ac:dyDescent="0.3">
      <c r="C180" s="183"/>
      <c r="D180" s="28"/>
      <c r="E180" s="19"/>
      <c r="F180" s="82" t="s">
        <v>241</v>
      </c>
      <c r="G180" s="82" t="s">
        <v>242</v>
      </c>
      <c r="H180" s="339" t="s">
        <v>243</v>
      </c>
    </row>
    <row r="181" spans="2:10" s="31" customFormat="1" x14ac:dyDescent="0.3">
      <c r="C181" s="183"/>
      <c r="D181" s="28" t="s">
        <v>121</v>
      </c>
      <c r="E181" s="19"/>
      <c r="F181" s="170" t="s">
        <v>244</v>
      </c>
      <c r="G181" s="170" t="s">
        <v>244</v>
      </c>
      <c r="H181" s="170" t="s">
        <v>244</v>
      </c>
    </row>
    <row r="182" spans="2:10" s="150" customFormat="1" x14ac:dyDescent="0.3">
      <c r="B182" s="149"/>
      <c r="C182" s="184"/>
      <c r="D182" s="150" t="s">
        <v>129</v>
      </c>
      <c r="E182" s="9"/>
      <c r="F182" s="380">
        <f>'Other Inputs (AUD)'!F188</f>
        <v>0.30399999999999999</v>
      </c>
      <c r="G182" s="380">
        <f>'Other Inputs (AUD)'!G188</f>
        <v>0.20200000000000001</v>
      </c>
      <c r="H182" s="380">
        <f>'Other Inputs (AUD)'!H188</f>
        <v>0.104</v>
      </c>
    </row>
    <row r="183" spans="2:10" s="150" customFormat="1" x14ac:dyDescent="0.3">
      <c r="B183" s="149"/>
      <c r="C183" s="184"/>
      <c r="D183" s="150" t="s">
        <v>130</v>
      </c>
      <c r="E183" s="9"/>
      <c r="F183" s="380">
        <f>'Other Inputs (AUD)'!F189</f>
        <v>0.90900000000000003</v>
      </c>
      <c r="G183" s="380">
        <f>'Other Inputs (AUD)'!G189</f>
        <v>0.60499999999999998</v>
      </c>
      <c r="H183" s="380">
        <f>'Other Inputs (AUD)'!H189</f>
        <v>0.30399999999999999</v>
      </c>
    </row>
    <row r="184" spans="2:10" s="150" customFormat="1" x14ac:dyDescent="0.3">
      <c r="B184" s="149"/>
      <c r="C184" s="184"/>
      <c r="D184" s="150" t="s">
        <v>131</v>
      </c>
      <c r="E184" s="9"/>
      <c r="F184" s="380">
        <f>'Other Inputs (AUD)'!F190</f>
        <v>0.90900000000000003</v>
      </c>
      <c r="G184" s="380">
        <f>'Other Inputs (AUD)'!G190</f>
        <v>0.60499999999999998</v>
      </c>
      <c r="H184" s="380">
        <f>'Other Inputs (AUD)'!H190</f>
        <v>0.30399999999999999</v>
      </c>
    </row>
    <row r="185" spans="2:10" s="150" customFormat="1" x14ac:dyDescent="0.3">
      <c r="B185" s="149"/>
      <c r="C185" s="184"/>
      <c r="D185" s="150" t="s">
        <v>132</v>
      </c>
      <c r="E185" s="9"/>
      <c r="F185" s="380">
        <f>'Other Inputs (AUD)'!F191</f>
        <v>0.90900000000000003</v>
      </c>
      <c r="G185" s="380">
        <f>'Other Inputs (AUD)'!G191</f>
        <v>0.60499999999999998</v>
      </c>
      <c r="H185" s="380">
        <f>'Other Inputs (AUD)'!H191</f>
        <v>0.30399999999999999</v>
      </c>
    </row>
    <row r="186" spans="2:10" x14ac:dyDescent="0.3">
      <c r="F186"/>
    </row>
    <row r="187" spans="2:10" s="134" customFormat="1" x14ac:dyDescent="0.3">
      <c r="B187" s="135"/>
      <c r="C187" s="136"/>
      <c r="D187" s="134" t="str">
        <f xml:space="preserve"> D$8</f>
        <v>Inflation (1 IDR in 2007 vs 1 IDR in 2023)</v>
      </c>
      <c r="E187" s="19"/>
      <c r="F187" s="134">
        <f xml:space="preserve"> F$8</f>
        <v>2.04</v>
      </c>
      <c r="G187" s="134" t="str">
        <f xml:space="preserve"> G$8</f>
        <v>index</v>
      </c>
      <c r="H187" s="136"/>
    </row>
    <row r="188" spans="2:10" s="134" customFormat="1" x14ac:dyDescent="0.3">
      <c r="B188" s="135"/>
      <c r="C188" s="136"/>
      <c r="D188" s="28" t="s">
        <v>333</v>
      </c>
      <c r="E188" s="19"/>
      <c r="F188" s="170" t="s">
        <v>401</v>
      </c>
      <c r="G188" s="170" t="s">
        <v>401</v>
      </c>
      <c r="H188" s="170" t="s">
        <v>401</v>
      </c>
    </row>
    <row r="189" spans="2:10" x14ac:dyDescent="0.3">
      <c r="D189" s="4" t="s">
        <v>129</v>
      </c>
      <c r="E189" s="10"/>
      <c r="F189" s="152">
        <f t="shared" ref="F189:H192" si="10">(1-F182)*$F$187*$F$6</f>
        <v>14650.5196512</v>
      </c>
      <c r="G189" s="385">
        <f t="shared" si="10"/>
        <v>16797.578565600001</v>
      </c>
      <c r="H189" s="152">
        <f t="shared" si="10"/>
        <v>18860.439091200002</v>
      </c>
    </row>
    <row r="190" spans="2:10" x14ac:dyDescent="0.3">
      <c r="D190" t="s">
        <v>130</v>
      </c>
      <c r="F190" s="152">
        <f t="shared" si="10"/>
        <v>1915.5133451999995</v>
      </c>
      <c r="G190" s="152">
        <f t="shared" si="10"/>
        <v>8314.5908940000008</v>
      </c>
      <c r="H190" s="152">
        <f t="shared" si="10"/>
        <v>14650.5196512</v>
      </c>
    </row>
    <row r="191" spans="2:10" x14ac:dyDescent="0.3">
      <c r="D191" t="s">
        <v>131</v>
      </c>
      <c r="F191" s="152">
        <f t="shared" si="10"/>
        <v>1915.5133451999995</v>
      </c>
      <c r="G191" s="152">
        <f t="shared" si="10"/>
        <v>8314.5908940000008</v>
      </c>
      <c r="H191" s="152">
        <f t="shared" si="10"/>
        <v>14650.5196512</v>
      </c>
    </row>
    <row r="192" spans="2:10" x14ac:dyDescent="0.3">
      <c r="D192" t="s">
        <v>132</v>
      </c>
      <c r="F192" s="152">
        <f t="shared" si="10"/>
        <v>1915.5133451999995</v>
      </c>
      <c r="G192" s="152">
        <f t="shared" si="10"/>
        <v>8314.5908940000008</v>
      </c>
      <c r="H192" s="152">
        <f t="shared" si="10"/>
        <v>14650.5196512</v>
      </c>
    </row>
    <row r="194" spans="2:8" x14ac:dyDescent="0.3">
      <c r="D194" s="47" t="s">
        <v>69</v>
      </c>
      <c r="F194" s="381">
        <f>'WestKalimant Data (IDR)'!C19</f>
        <v>222.08647634171871</v>
      </c>
      <c r="G194" s="25" t="s">
        <v>245</v>
      </c>
    </row>
    <row r="196" spans="2:8" s="45" customFormat="1" x14ac:dyDescent="0.3">
      <c r="B196" s="48" t="s">
        <v>246</v>
      </c>
      <c r="C196" s="186"/>
      <c r="E196" s="10"/>
      <c r="F196" s="46"/>
      <c r="H196" s="46"/>
    </row>
    <row r="197" spans="2:8" s="45" customFormat="1" x14ac:dyDescent="0.3">
      <c r="B197" s="48"/>
      <c r="C197" s="186"/>
      <c r="E197" s="10"/>
      <c r="F197" s="46"/>
      <c r="H197" s="46"/>
    </row>
    <row r="198" spans="2:8" s="45" customFormat="1" x14ac:dyDescent="0.3">
      <c r="B198" s="48"/>
      <c r="C198" s="186"/>
      <c r="D198" s="46" t="s">
        <v>247</v>
      </c>
      <c r="E198" s="10"/>
      <c r="F198" s="381">
        <f>'Other Inputs (AUD)'!F204*'Other inputs (IDR)'!$F$6</f>
        <v>1031843</v>
      </c>
      <c r="G198" s="47" t="s">
        <v>402</v>
      </c>
      <c r="H198" s="46"/>
    </row>
    <row r="199" spans="2:8" s="45" customFormat="1" x14ac:dyDescent="0.3">
      <c r="B199" s="48"/>
      <c r="C199" s="186"/>
      <c r="E199" s="10"/>
      <c r="F199" s="46"/>
      <c r="H199" s="46"/>
    </row>
    <row r="200" spans="2:8" s="45" customFormat="1" x14ac:dyDescent="0.3">
      <c r="B200" s="48"/>
      <c r="C200" s="186"/>
      <c r="E200" s="10"/>
      <c r="F200" s="46"/>
      <c r="H200" s="46"/>
    </row>
    <row r="201" spans="2:8" s="45" customFormat="1" x14ac:dyDescent="0.3">
      <c r="B201" s="48" t="s">
        <v>249</v>
      </c>
      <c r="C201" s="186"/>
      <c r="E201" s="10"/>
      <c r="F201" s="46"/>
      <c r="H201" s="46"/>
    </row>
    <row r="202" spans="2:8" s="45" customFormat="1" x14ac:dyDescent="0.3">
      <c r="B202" s="48"/>
      <c r="C202" s="186"/>
      <c r="D202" s="7" t="s">
        <v>250</v>
      </c>
      <c r="E202" s="10"/>
      <c r="F202" s="13">
        <v>0.2</v>
      </c>
      <c r="G202" s="6" t="s">
        <v>65</v>
      </c>
      <c r="H202" s="46"/>
    </row>
    <row r="203" spans="2:8" s="45" customFormat="1" x14ac:dyDescent="0.3">
      <c r="B203" s="48"/>
      <c r="C203" s="186"/>
      <c r="D203" s="7" t="s">
        <v>251</v>
      </c>
      <c r="E203" s="10"/>
      <c r="F203" s="13">
        <v>0.1</v>
      </c>
      <c r="G203" s="6" t="s">
        <v>65</v>
      </c>
      <c r="H203" s="46"/>
    </row>
    <row r="204" spans="2:8" s="45" customFormat="1" x14ac:dyDescent="0.3">
      <c r="B204" s="48"/>
      <c r="C204" s="186"/>
      <c r="E204" s="10"/>
      <c r="F204" s="46"/>
      <c r="H204" s="46"/>
    </row>
    <row r="205" spans="2:8" s="45" customFormat="1" x14ac:dyDescent="0.3">
      <c r="B205" s="48"/>
      <c r="C205" s="186"/>
      <c r="D205" s="47" t="s">
        <v>252</v>
      </c>
      <c r="E205" s="9"/>
      <c r="F205" s="14">
        <f>(4798/365)*F5</f>
        <v>205222.94794520549</v>
      </c>
      <c r="G205" s="47" t="s">
        <v>403</v>
      </c>
      <c r="H205" s="46" t="s">
        <v>387</v>
      </c>
    </row>
    <row r="206" spans="2:8" s="45" customFormat="1" x14ac:dyDescent="0.3">
      <c r="B206" s="48"/>
      <c r="C206" s="186"/>
      <c r="E206" s="10"/>
      <c r="F206" s="46"/>
      <c r="H206" s="46"/>
    </row>
    <row r="207" spans="2:8" s="15" customFormat="1" collapsed="1" x14ac:dyDescent="0.3">
      <c r="B207" s="1" t="s">
        <v>254</v>
      </c>
      <c r="C207" s="172"/>
      <c r="E207" s="10"/>
      <c r="F207" s="10"/>
      <c r="H207" s="154"/>
    </row>
    <row r="208" spans="2:8" s="10" customFormat="1" x14ac:dyDescent="0.3">
      <c r="B208" s="9"/>
      <c r="C208" s="172"/>
      <c r="D208" s="10" t="s">
        <v>255</v>
      </c>
      <c r="E208" s="38">
        <f xml:space="preserve"> 'References &amp; Notes'!B$13</f>
        <v>10</v>
      </c>
      <c r="F208" s="381">
        <f>'Other Inputs (AUD)'!F214*'Other inputs (IDR)'!$F$6</f>
        <v>4447243.33</v>
      </c>
      <c r="G208" s="47" t="s">
        <v>403</v>
      </c>
    </row>
    <row r="209" spans="1:6" s="10" customFormat="1" x14ac:dyDescent="0.3">
      <c r="B209" s="9"/>
      <c r="C209" s="172"/>
    </row>
    <row r="210" spans="1:6" x14ac:dyDescent="0.3">
      <c r="A210" s="1" t="s">
        <v>26</v>
      </c>
      <c r="F210" s="155"/>
    </row>
  </sheetData>
  <pageMargins left="0.70866141732283472" right="0.70866141732283472" top="0.74803149606299213" bottom="0.74803149606299213" header="0.31496062992125984" footer="0.31496062992125984"/>
  <pageSetup paperSize="9" scale="55" orientation="portrait" horizontalDpi="300" verticalDpi="3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C1489-949A-4699-99B7-EC57F939BF08}">
  <sheetPr>
    <tabColor rgb="FF92D050"/>
  </sheetPr>
  <dimension ref="A1:J216"/>
  <sheetViews>
    <sheetView zoomScale="85" zoomScaleNormal="85" workbookViewId="0">
      <selection activeCell="B1" sqref="B1"/>
    </sheetView>
  </sheetViews>
  <sheetFormatPr defaultColWidth="8.88671875" defaultRowHeight="14.4" x14ac:dyDescent="0.3"/>
  <cols>
    <col min="1" max="1" width="1.5546875" customWidth="1"/>
    <col min="2" max="2" width="1.5546875" style="1" customWidth="1"/>
    <col min="3" max="3" width="1.5546875" style="173" customWidth="1"/>
    <col min="4" max="4" width="60.88671875" customWidth="1"/>
    <col min="5" max="5" width="4.5546875" style="9" customWidth="1"/>
    <col min="6" max="6" width="16.88671875" style="126" customWidth="1"/>
    <col min="7" max="9" width="16.88671875" customWidth="1"/>
    <col min="10" max="10" width="20.44140625" customWidth="1"/>
  </cols>
  <sheetData>
    <row r="1" spans="1:9" ht="24.6" x14ac:dyDescent="0.3">
      <c r="A1" s="32" t="str">
        <f ca="1" xml:space="preserve"> RIGHT(CELL("filename", A1), LEN(CELL("filename", A1)) - SEARCH("]", CELL("filename", A1)))</f>
        <v>Other Inputs (AUD)</v>
      </c>
      <c r="C1" s="172"/>
      <c r="F1" s="286" t="str">
        <f xml:space="preserve"> "Active case: " &amp; 'Key inputs &amp; outputs'!$F$8</f>
        <v>Active case: Base case</v>
      </c>
      <c r="G1" s="4"/>
      <c r="H1" s="4"/>
      <c r="I1" s="4"/>
    </row>
    <row r="2" spans="1:9" x14ac:dyDescent="0.3">
      <c r="D2" s="52" t="s">
        <v>27</v>
      </c>
      <c r="E2" s="21" t="s">
        <v>28</v>
      </c>
      <c r="F2" s="302" t="s">
        <v>105</v>
      </c>
      <c r="H2" s="28"/>
    </row>
    <row r="3" spans="1:9" x14ac:dyDescent="0.3">
      <c r="H3" s="28"/>
    </row>
    <row r="4" spans="1:9" x14ac:dyDescent="0.3">
      <c r="B4" s="1" t="s">
        <v>106</v>
      </c>
      <c r="H4" s="28"/>
    </row>
    <row r="5" spans="1:9" s="47" customFormat="1" x14ac:dyDescent="0.3">
      <c r="B5" s="48"/>
      <c r="C5" s="175"/>
      <c r="D5" s="46" t="s">
        <v>107</v>
      </c>
      <c r="E5" s="10"/>
      <c r="F5" s="14">
        <v>0.7</v>
      </c>
      <c r="G5" s="47" t="s">
        <v>108</v>
      </c>
      <c r="H5" s="28"/>
      <c r="I5" s="46"/>
    </row>
    <row r="6" spans="1:9" s="131" customFormat="1" x14ac:dyDescent="0.3">
      <c r="B6" s="130"/>
      <c r="C6" s="177"/>
      <c r="D6" s="132" t="s">
        <v>109</v>
      </c>
      <c r="E6" s="10"/>
      <c r="F6" s="133">
        <v>1.0317499999999999</v>
      </c>
      <c r="G6" s="131" t="s">
        <v>110</v>
      </c>
      <c r="H6" s="28"/>
      <c r="I6" s="132"/>
    </row>
    <row r="7" spans="1:9" s="131" customFormat="1" x14ac:dyDescent="0.3">
      <c r="B7" s="130"/>
      <c r="C7" s="177"/>
      <c r="D7" s="132" t="s">
        <v>111</v>
      </c>
      <c r="E7" s="10"/>
      <c r="F7" s="133">
        <v>1.3672500000000001</v>
      </c>
      <c r="G7" s="131" t="s">
        <v>110</v>
      </c>
      <c r="H7" s="28"/>
      <c r="I7" s="132"/>
    </row>
    <row r="8" spans="1:9" s="45" customFormat="1" x14ac:dyDescent="0.3">
      <c r="C8" s="186"/>
      <c r="D8" s="16" t="s">
        <v>112</v>
      </c>
      <c r="E8" s="9"/>
      <c r="F8" s="167">
        <v>365</v>
      </c>
      <c r="G8" s="16" t="s">
        <v>99</v>
      </c>
      <c r="H8" s="28"/>
    </row>
    <row r="9" spans="1:9" s="47" customFormat="1" x14ac:dyDescent="0.3">
      <c r="B9" s="48"/>
      <c r="C9" s="175"/>
      <c r="D9" s="46"/>
      <c r="E9" s="10"/>
      <c r="F9" s="44"/>
      <c r="H9" s="28"/>
      <c r="I9" s="46"/>
    </row>
    <row r="10" spans="1:9" s="45" customFormat="1" x14ac:dyDescent="0.3">
      <c r="B10" s="45" t="s">
        <v>113</v>
      </c>
      <c r="C10" s="186"/>
      <c r="E10" s="10"/>
      <c r="F10" s="46"/>
      <c r="H10" s="28"/>
    </row>
    <row r="11" spans="1:9" s="45" customFormat="1" x14ac:dyDescent="0.3">
      <c r="C11" s="186"/>
      <c r="D11" s="46" t="s">
        <v>114</v>
      </c>
      <c r="E11" s="10"/>
      <c r="F11" s="14">
        <v>2</v>
      </c>
      <c r="G11" s="47" t="s">
        <v>115</v>
      </c>
      <c r="H11" s="28"/>
    </row>
    <row r="12" spans="1:9" s="45" customFormat="1" x14ac:dyDescent="0.3">
      <c r="C12" s="186"/>
      <c r="D12" s="46" t="s">
        <v>116</v>
      </c>
      <c r="E12" s="10"/>
      <c r="F12" s="14">
        <f>8/100</f>
        <v>0.08</v>
      </c>
      <c r="G12" s="47" t="s">
        <v>455</v>
      </c>
      <c r="H12" s="28"/>
    </row>
    <row r="13" spans="1:9" s="45" customFormat="1" x14ac:dyDescent="0.3">
      <c r="C13" s="186"/>
      <c r="D13" s="46" t="s">
        <v>117</v>
      </c>
      <c r="E13" s="10"/>
      <c r="F13" s="14">
        <v>1.5</v>
      </c>
      <c r="G13" s="47" t="s">
        <v>457</v>
      </c>
      <c r="H13" s="28"/>
    </row>
    <row r="14" spans="1:9" s="45" customFormat="1" x14ac:dyDescent="0.3">
      <c r="C14" s="186"/>
      <c r="E14" s="10"/>
      <c r="F14" s="46"/>
      <c r="H14" s="28"/>
    </row>
    <row r="15" spans="1:9" s="15" customFormat="1" x14ac:dyDescent="0.3">
      <c r="B15" s="15" t="s">
        <v>118</v>
      </c>
      <c r="C15" s="172"/>
      <c r="E15" s="10"/>
      <c r="F15" s="10"/>
      <c r="H15" s="10"/>
    </row>
    <row r="16" spans="1:9" s="15" customFormat="1" x14ac:dyDescent="0.3">
      <c r="C16" s="172"/>
      <c r="D16" s="158" t="s">
        <v>119</v>
      </c>
      <c r="E16" s="158"/>
      <c r="F16" s="10"/>
      <c r="H16" s="10"/>
    </row>
    <row r="17" spans="2:8" s="15" customFormat="1" x14ac:dyDescent="0.3">
      <c r="C17" s="172"/>
      <c r="D17" s="158"/>
      <c r="E17" s="158"/>
      <c r="F17" s="10"/>
      <c r="H17" s="10"/>
    </row>
    <row r="18" spans="2:8" s="134" customFormat="1" x14ac:dyDescent="0.3">
      <c r="B18" s="135"/>
      <c r="C18" s="136"/>
      <c r="D18" s="134" t="str">
        <f xml:space="preserve"> D$7</f>
        <v>Inflation (1 AUD in 2007 vs 1 AUD in 2021)</v>
      </c>
      <c r="E18" s="19"/>
      <c r="F18" s="134">
        <f xml:space="preserve"> F$7</f>
        <v>1.3672500000000001</v>
      </c>
      <c r="G18" s="134" t="str">
        <f xml:space="preserve"> G$7</f>
        <v>index</v>
      </c>
      <c r="H18" s="136"/>
    </row>
    <row r="19" spans="2:8" s="23" customFormat="1" x14ac:dyDescent="0.3">
      <c r="C19" s="178"/>
      <c r="D19" s="27" t="s">
        <v>120</v>
      </c>
      <c r="E19" s="38">
        <f xml:space="preserve"> 'References &amp; Notes'!B$6</f>
        <v>3</v>
      </c>
      <c r="F19" s="246" t="s">
        <v>121</v>
      </c>
      <c r="G19" s="246" t="s">
        <v>122</v>
      </c>
      <c r="H19"/>
    </row>
    <row r="20" spans="2:8" s="23" customFormat="1" x14ac:dyDescent="0.3">
      <c r="C20" s="178"/>
      <c r="D20" s="23" t="s">
        <v>123</v>
      </c>
      <c r="E20" s="19"/>
      <c r="F20" s="79" t="s">
        <v>124</v>
      </c>
      <c r="G20" s="79" t="s">
        <v>124</v>
      </c>
      <c r="H20"/>
    </row>
    <row r="21" spans="2:8" x14ac:dyDescent="0.3">
      <c r="D21" s="10" t="s">
        <v>125</v>
      </c>
      <c r="E21" s="10"/>
      <c r="F21" s="137">
        <v>4.5</v>
      </c>
      <c r="G21" s="138">
        <f t="shared" ref="G21:G28" si="0">F21*$F$18</f>
        <v>6.1526250000000005</v>
      </c>
    </row>
    <row r="22" spans="2:8" x14ac:dyDescent="0.3">
      <c r="D22" s="10" t="s">
        <v>126</v>
      </c>
      <c r="E22" s="10"/>
      <c r="F22" s="137">
        <v>4.5999999999999996</v>
      </c>
      <c r="G22" s="126">
        <f>F22*$F$18</f>
        <v>6.2893499999999998</v>
      </c>
    </row>
    <row r="23" spans="2:8" x14ac:dyDescent="0.3">
      <c r="D23" s="10" t="s">
        <v>127</v>
      </c>
      <c r="E23" s="10"/>
      <c r="F23" s="137">
        <v>8.6</v>
      </c>
      <c r="G23" s="126">
        <f t="shared" si="0"/>
        <v>11.75835</v>
      </c>
    </row>
    <row r="24" spans="2:8" x14ac:dyDescent="0.3">
      <c r="D24" s="10" t="s">
        <v>128</v>
      </c>
      <c r="E24" s="10"/>
      <c r="F24" s="137">
        <v>8.6</v>
      </c>
      <c r="G24" s="126">
        <f t="shared" si="0"/>
        <v>11.75835</v>
      </c>
    </row>
    <row r="25" spans="2:8" x14ac:dyDescent="0.3">
      <c r="D25" s="9" t="s">
        <v>129</v>
      </c>
      <c r="F25" s="137">
        <v>16.600000000000001</v>
      </c>
      <c r="G25" s="126">
        <f t="shared" si="0"/>
        <v>22.696350000000002</v>
      </c>
    </row>
    <row r="26" spans="2:8" x14ac:dyDescent="0.3">
      <c r="D26" s="9" t="s">
        <v>130</v>
      </c>
      <c r="F26" s="137">
        <v>20.6</v>
      </c>
      <c r="G26" s="126">
        <f t="shared" si="0"/>
        <v>28.165350000000004</v>
      </c>
    </row>
    <row r="27" spans="2:8" x14ac:dyDescent="0.3">
      <c r="D27" s="9" t="s">
        <v>131</v>
      </c>
      <c r="F27" s="137">
        <v>22</v>
      </c>
      <c r="G27" s="126">
        <f t="shared" si="0"/>
        <v>30.079500000000003</v>
      </c>
    </row>
    <row r="28" spans="2:8" x14ac:dyDescent="0.3">
      <c r="D28" s="9" t="s">
        <v>132</v>
      </c>
      <c r="F28" s="137">
        <v>28.2</v>
      </c>
      <c r="G28" s="126">
        <f t="shared" si="0"/>
        <v>38.556449999999998</v>
      </c>
    </row>
    <row r="30" spans="2:8" s="45" customFormat="1" x14ac:dyDescent="0.3">
      <c r="B30" s="45" t="s">
        <v>133</v>
      </c>
      <c r="C30" s="186"/>
      <c r="E30" s="10"/>
      <c r="F30" s="46"/>
      <c r="H30" s="46"/>
    </row>
    <row r="31" spans="2:8" s="45" customFormat="1" x14ac:dyDescent="0.3">
      <c r="C31" s="186"/>
      <c r="D31" s="46" t="s">
        <v>449</v>
      </c>
      <c r="E31" s="10"/>
      <c r="F31" s="14">
        <v>39.1</v>
      </c>
      <c r="G31" s="47" t="s">
        <v>134</v>
      </c>
      <c r="H31" s="46"/>
    </row>
    <row r="32" spans="2:8" s="45" customFormat="1" x14ac:dyDescent="0.3">
      <c r="C32" s="186"/>
      <c r="D32" s="46" t="s">
        <v>135</v>
      </c>
      <c r="E32" s="10"/>
      <c r="F32" s="14">
        <v>2</v>
      </c>
      <c r="G32" s="47" t="s">
        <v>136</v>
      </c>
      <c r="H32" s="46"/>
    </row>
    <row r="33" spans="2:8" s="45" customFormat="1" x14ac:dyDescent="0.3">
      <c r="C33" s="186"/>
      <c r="E33" s="10"/>
      <c r="F33" s="46"/>
      <c r="H33" s="46"/>
    </row>
    <row r="34" spans="2:8" s="45" customFormat="1" x14ac:dyDescent="0.3">
      <c r="C34" s="186"/>
      <c r="D34" s="47" t="s">
        <v>450</v>
      </c>
      <c r="E34" s="9"/>
      <c r="F34" s="14">
        <f>11.9</f>
        <v>11.9</v>
      </c>
      <c r="G34" s="47" t="s">
        <v>137</v>
      </c>
      <c r="H34" s="46"/>
    </row>
    <row r="35" spans="2:8" s="45" customFormat="1" x14ac:dyDescent="0.3">
      <c r="C35" s="186"/>
      <c r="D35" s="47" t="s">
        <v>451</v>
      </c>
      <c r="E35" s="301">
        <f xml:space="preserve"> 'References &amp; Notes'!B$15</f>
        <v>12</v>
      </c>
      <c r="F35" s="14">
        <f>3.7</f>
        <v>3.7</v>
      </c>
      <c r="G35" s="47" t="s">
        <v>137</v>
      </c>
      <c r="H35" s="46"/>
    </row>
    <row r="36" spans="2:8" s="45" customFormat="1" ht="5.0999999999999996" customHeight="1" x14ac:dyDescent="0.3">
      <c r="C36" s="186"/>
      <c r="D36" s="46"/>
      <c r="F36" s="25"/>
      <c r="G36" s="46"/>
      <c r="H36" s="46"/>
    </row>
    <row r="37" spans="2:8" s="25" customFormat="1" x14ac:dyDescent="0.3">
      <c r="B37" s="52"/>
      <c r="C37" s="180"/>
      <c r="D37" s="25" t="str">
        <f xml:space="preserve"> D$5</f>
        <v>Exchange rate USD to AUD</v>
      </c>
      <c r="F37" s="25">
        <f xml:space="preserve"> F$5</f>
        <v>0.7</v>
      </c>
      <c r="G37" s="25" t="str">
        <f t="shared" ref="G37" si="1" xml:space="preserve"> G$5</f>
        <v>AUD/USD</v>
      </c>
    </row>
    <row r="38" spans="2:8" s="45" customFormat="1" ht="5.0999999999999996" customHeight="1" x14ac:dyDescent="0.3">
      <c r="C38" s="186"/>
      <c r="D38" s="46"/>
      <c r="E38" s="10"/>
      <c r="F38" s="25"/>
      <c r="G38" s="46"/>
      <c r="H38" s="46"/>
    </row>
    <row r="39" spans="2:8" s="43" customFormat="1" x14ac:dyDescent="0.3">
      <c r="B39" s="52"/>
      <c r="C39" s="180"/>
      <c r="D39" s="25" t="str">
        <f xml:space="preserve"> 'Other inputs (IDR)'!D$35</f>
        <v>Maintenance cost - virgin material</v>
      </c>
      <c r="E39" s="29"/>
      <c r="F39" s="25">
        <f xml:space="preserve"> F34 * F$37</f>
        <v>8.33</v>
      </c>
      <c r="G39" s="47" t="s">
        <v>138</v>
      </c>
    </row>
    <row r="40" spans="2:8" s="43" customFormat="1" x14ac:dyDescent="0.3">
      <c r="B40" s="52"/>
      <c r="C40" s="180"/>
      <c r="D40" s="25" t="str">
        <f xml:space="preserve"> 'Other inputs (IDR)'!D$36</f>
        <v>Maintenance cost - recycled</v>
      </c>
      <c r="F40" s="25">
        <f xml:space="preserve"> F35 * F$37</f>
        <v>2.59</v>
      </c>
      <c r="G40" s="47" t="s">
        <v>138</v>
      </c>
    </row>
    <row r="41" spans="2:8" s="45" customFormat="1" x14ac:dyDescent="0.3">
      <c r="C41" s="186"/>
      <c r="E41" s="10"/>
      <c r="F41" s="46"/>
      <c r="H41" s="46"/>
    </row>
    <row r="42" spans="2:8" s="45" customFormat="1" x14ac:dyDescent="0.3">
      <c r="C42" s="186"/>
      <c r="D42" s="46" t="s">
        <v>452</v>
      </c>
      <c r="E42" s="10"/>
      <c r="F42" s="14">
        <v>1.2</v>
      </c>
      <c r="G42" s="47" t="s">
        <v>139</v>
      </c>
      <c r="H42" s="46"/>
    </row>
    <row r="43" spans="2:8" s="45" customFormat="1" x14ac:dyDescent="0.3">
      <c r="C43" s="186"/>
      <c r="D43" s="7" t="s">
        <v>140</v>
      </c>
      <c r="E43" s="10"/>
      <c r="F43" s="13">
        <v>0.2</v>
      </c>
      <c r="G43" s="6" t="s">
        <v>65</v>
      </c>
      <c r="H43" s="46"/>
    </row>
    <row r="44" spans="2:8" s="45" customFormat="1" x14ac:dyDescent="0.3">
      <c r="C44" s="186"/>
      <c r="E44" s="10"/>
      <c r="F44" s="46"/>
      <c r="H44" s="46"/>
    </row>
    <row r="45" spans="2:8" s="45" customFormat="1" x14ac:dyDescent="0.3">
      <c r="C45" s="186"/>
      <c r="D45" s="16" t="s">
        <v>453</v>
      </c>
      <c r="E45" s="9"/>
      <c r="F45" s="167">
        <v>5</v>
      </c>
      <c r="G45" s="16" t="s">
        <v>141</v>
      </c>
      <c r="H45" s="46"/>
    </row>
    <row r="46" spans="2:8" s="45" customFormat="1" x14ac:dyDescent="0.3">
      <c r="C46" s="186"/>
      <c r="E46" s="10"/>
      <c r="F46" s="46"/>
      <c r="H46" s="46"/>
    </row>
    <row r="47" spans="2:8" s="15" customFormat="1" collapsed="1" x14ac:dyDescent="0.3">
      <c r="B47" s="15" t="s">
        <v>142</v>
      </c>
      <c r="C47" s="172"/>
      <c r="E47" s="10"/>
      <c r="F47" s="10"/>
    </row>
    <row r="48" spans="2:8" s="15" customFormat="1" x14ac:dyDescent="0.3">
      <c r="C48" s="172"/>
      <c r="D48" s="158" t="s">
        <v>119</v>
      </c>
      <c r="E48" s="158"/>
      <c r="F48" s="10"/>
      <c r="H48" s="10"/>
    </row>
    <row r="49" spans="2:8" s="15" customFormat="1" x14ac:dyDescent="0.3">
      <c r="C49" s="172"/>
      <c r="D49" s="158"/>
      <c r="E49" s="158"/>
      <c r="F49" s="10"/>
      <c r="H49" s="10"/>
    </row>
    <row r="50" spans="2:8" s="134" customFormat="1" x14ac:dyDescent="0.3">
      <c r="B50" s="135"/>
      <c r="C50" s="136"/>
      <c r="D50" s="134" t="str">
        <f xml:space="preserve"> D$7</f>
        <v>Inflation (1 AUD in 2007 vs 1 AUD in 2021)</v>
      </c>
      <c r="E50" s="19"/>
      <c r="F50" s="134">
        <f xml:space="preserve"> F$7</f>
        <v>1.3672500000000001</v>
      </c>
      <c r="G50" s="134" t="str">
        <f xml:space="preserve"> G$7</f>
        <v>index</v>
      </c>
      <c r="H50" s="136"/>
    </row>
    <row r="51" spans="2:8" s="19" customFormat="1" x14ac:dyDescent="0.3">
      <c r="B51" s="21"/>
      <c r="C51" s="154"/>
      <c r="D51" s="31" t="s">
        <v>143</v>
      </c>
      <c r="E51" s="38">
        <f xml:space="preserve"> 'References &amp; Notes'!B$6</f>
        <v>3</v>
      </c>
      <c r="F51" s="246" t="s">
        <v>121</v>
      </c>
      <c r="G51" s="246" t="s">
        <v>122</v>
      </c>
    </row>
    <row r="52" spans="2:8" s="23" customFormat="1" x14ac:dyDescent="0.3">
      <c r="C52" s="178"/>
      <c r="D52" s="28" t="s">
        <v>123</v>
      </c>
      <c r="E52" s="19"/>
      <c r="F52" s="80" t="s">
        <v>144</v>
      </c>
      <c r="G52" s="80" t="s">
        <v>144</v>
      </c>
      <c r="H52"/>
    </row>
    <row r="53" spans="2:8" x14ac:dyDescent="0.3">
      <c r="D53" s="16" t="s">
        <v>145</v>
      </c>
      <c r="F53" s="139">
        <v>19.53</v>
      </c>
      <c r="G53" s="140">
        <f t="shared" ref="G53:G68" si="2">F53*$F$50</f>
        <v>26.702392500000002</v>
      </c>
    </row>
    <row r="54" spans="2:8" x14ac:dyDescent="0.3">
      <c r="D54" s="16" t="s">
        <v>146</v>
      </c>
      <c r="F54" s="139">
        <v>18.38</v>
      </c>
      <c r="G54" s="141">
        <f t="shared" si="2"/>
        <v>25.130054999999999</v>
      </c>
    </row>
    <row r="55" spans="2:8" x14ac:dyDescent="0.3">
      <c r="D55" s="16" t="s">
        <v>147</v>
      </c>
      <c r="F55" s="139">
        <v>41.62</v>
      </c>
      <c r="G55" s="141">
        <f t="shared" si="2"/>
        <v>56.904944999999998</v>
      </c>
    </row>
    <row r="56" spans="2:8" x14ac:dyDescent="0.3">
      <c r="D56" s="16" t="s">
        <v>148</v>
      </c>
      <c r="F56" s="139">
        <v>44.81</v>
      </c>
      <c r="G56" s="141">
        <f t="shared" si="2"/>
        <v>61.266472500000006</v>
      </c>
    </row>
    <row r="57" spans="2:8" x14ac:dyDescent="0.3">
      <c r="D57" s="16" t="s">
        <v>149</v>
      </c>
      <c r="F57" s="139">
        <v>29.35</v>
      </c>
      <c r="G57" s="141">
        <f t="shared" si="2"/>
        <v>40.128787500000001</v>
      </c>
    </row>
    <row r="58" spans="2:8" x14ac:dyDescent="0.3">
      <c r="D58" s="16" t="s">
        <v>150</v>
      </c>
      <c r="F58" s="139">
        <v>32.69</v>
      </c>
      <c r="G58" s="141">
        <f t="shared" si="2"/>
        <v>44.6954025</v>
      </c>
    </row>
    <row r="59" spans="2:8" x14ac:dyDescent="0.3">
      <c r="D59" s="16" t="s">
        <v>151</v>
      </c>
      <c r="F59" s="139">
        <v>137.88</v>
      </c>
      <c r="G59" s="141">
        <f t="shared" si="2"/>
        <v>188.51643000000001</v>
      </c>
    </row>
    <row r="60" spans="2:8" x14ac:dyDescent="0.3">
      <c r="D60" s="16" t="s">
        <v>152</v>
      </c>
      <c r="F60" s="139">
        <v>174.3</v>
      </c>
      <c r="G60" s="141">
        <f t="shared" si="2"/>
        <v>238.31167500000004</v>
      </c>
    </row>
    <row r="61" spans="2:8" x14ac:dyDescent="0.3">
      <c r="D61" s="16" t="s">
        <v>153</v>
      </c>
      <c r="F61" s="139">
        <v>38.76</v>
      </c>
      <c r="G61" s="141">
        <f t="shared" si="2"/>
        <v>52.994610000000002</v>
      </c>
    </row>
    <row r="62" spans="2:8" x14ac:dyDescent="0.3">
      <c r="D62" s="16" t="s">
        <v>154</v>
      </c>
      <c r="F62" s="139">
        <v>53.3</v>
      </c>
      <c r="G62" s="141">
        <f t="shared" si="2"/>
        <v>72.874425000000002</v>
      </c>
    </row>
    <row r="63" spans="2:8" x14ac:dyDescent="0.3">
      <c r="D63" s="16" t="s">
        <v>155</v>
      </c>
      <c r="F63" s="139">
        <v>48.4</v>
      </c>
      <c r="G63" s="141">
        <f t="shared" si="2"/>
        <v>66.174900000000008</v>
      </c>
    </row>
    <row r="64" spans="2:8" x14ac:dyDescent="0.3">
      <c r="D64" s="16" t="s">
        <v>156</v>
      </c>
      <c r="F64" s="139">
        <v>73.3</v>
      </c>
      <c r="G64" s="141">
        <f t="shared" si="2"/>
        <v>100.219425</v>
      </c>
    </row>
    <row r="65" spans="2:10" x14ac:dyDescent="0.3">
      <c r="D65" s="16" t="s">
        <v>157</v>
      </c>
      <c r="F65" s="139">
        <v>57.77</v>
      </c>
      <c r="G65" s="141">
        <f t="shared" si="2"/>
        <v>78.986032500000007</v>
      </c>
    </row>
    <row r="66" spans="2:10" x14ac:dyDescent="0.3">
      <c r="D66" s="16" t="s">
        <v>158</v>
      </c>
      <c r="F66" s="139">
        <v>26.11</v>
      </c>
      <c r="G66" s="141">
        <f t="shared" si="2"/>
        <v>35.698897500000001</v>
      </c>
    </row>
    <row r="67" spans="2:10" x14ac:dyDescent="0.3">
      <c r="D67" s="16" t="s">
        <v>159</v>
      </c>
      <c r="F67" s="139">
        <v>73.760000000000005</v>
      </c>
      <c r="G67" s="141">
        <f t="shared" si="2"/>
        <v>100.84836000000001</v>
      </c>
    </row>
    <row r="68" spans="2:10" x14ac:dyDescent="0.3">
      <c r="D68" s="16" t="s">
        <v>160</v>
      </c>
      <c r="F68" s="139">
        <v>25.44</v>
      </c>
      <c r="G68" s="141">
        <f t="shared" si="2"/>
        <v>34.78284</v>
      </c>
    </row>
    <row r="69" spans="2:10" x14ac:dyDescent="0.3">
      <c r="F69"/>
    </row>
    <row r="70" spans="2:10" s="29" customFormat="1" x14ac:dyDescent="0.3">
      <c r="B70" s="48" t="s">
        <v>161</v>
      </c>
      <c r="C70" s="179"/>
      <c r="E70" s="19"/>
    </row>
    <row r="71" spans="2:10" s="29" customFormat="1" x14ac:dyDescent="0.3">
      <c r="B71" s="48" t="s">
        <v>162</v>
      </c>
      <c r="C71" s="179"/>
      <c r="E71" s="19"/>
    </row>
    <row r="72" spans="2:10" s="29" customFormat="1" x14ac:dyDescent="0.3">
      <c r="B72" s="48" t="s">
        <v>163</v>
      </c>
      <c r="C72" s="179"/>
      <c r="E72" s="19"/>
    </row>
    <row r="73" spans="2:10" s="29" customFormat="1" x14ac:dyDescent="0.3">
      <c r="B73" s="48" t="s">
        <v>164</v>
      </c>
      <c r="C73" s="179"/>
      <c r="E73" s="19"/>
    </row>
    <row r="74" spans="2:10" s="29" customFormat="1" x14ac:dyDescent="0.3">
      <c r="B74" s="48" t="s">
        <v>165</v>
      </c>
      <c r="C74" s="179"/>
      <c r="E74" s="19"/>
    </row>
    <row r="75" spans="2:10" s="15" customFormat="1" x14ac:dyDescent="0.3">
      <c r="C75" s="172"/>
      <c r="D75" s="158" t="s">
        <v>119</v>
      </c>
      <c r="E75" s="158"/>
      <c r="F75" s="10"/>
      <c r="H75" s="10"/>
    </row>
    <row r="76" spans="2:10" s="15" customFormat="1" x14ac:dyDescent="0.3">
      <c r="C76" s="172"/>
      <c r="D76" s="158"/>
      <c r="E76" s="158"/>
      <c r="F76" s="10"/>
      <c r="H76" s="10"/>
    </row>
    <row r="77" spans="2:10" s="29" customFormat="1" x14ac:dyDescent="0.3">
      <c r="B77" s="28"/>
      <c r="C77" s="179" t="s">
        <v>166</v>
      </c>
      <c r="E77" s="19"/>
      <c r="F77" s="28"/>
      <c r="G77" s="28"/>
      <c r="H77" s="28"/>
      <c r="I77" s="28"/>
      <c r="J77" s="136"/>
    </row>
    <row r="78" spans="2:10" s="29" customFormat="1" x14ac:dyDescent="0.3">
      <c r="B78" s="28"/>
      <c r="C78" s="179"/>
      <c r="E78" s="38">
        <f xml:space="preserve"> 'References &amp; Notes'!B$6</f>
        <v>3</v>
      </c>
      <c r="F78" s="28" t="s">
        <v>167</v>
      </c>
      <c r="G78" s="28"/>
      <c r="H78" s="28" t="s">
        <v>168</v>
      </c>
      <c r="I78" s="28"/>
    </row>
    <row r="79" spans="2:10" s="29" customFormat="1" x14ac:dyDescent="0.3">
      <c r="B79" s="28"/>
      <c r="C79" s="179"/>
      <c r="E79" s="19"/>
      <c r="F79" s="73" t="s">
        <v>169</v>
      </c>
      <c r="G79" s="73" t="s">
        <v>128</v>
      </c>
      <c r="H79" s="73" t="s">
        <v>169</v>
      </c>
      <c r="I79" s="73" t="s">
        <v>128</v>
      </c>
    </row>
    <row r="80" spans="2:10" s="29" customFormat="1" x14ac:dyDescent="0.3">
      <c r="B80" s="28"/>
      <c r="C80" s="179"/>
      <c r="D80" s="28" t="s">
        <v>121</v>
      </c>
      <c r="E80" s="19"/>
      <c r="F80" s="79" t="s">
        <v>170</v>
      </c>
      <c r="G80" s="79" t="s">
        <v>170</v>
      </c>
      <c r="H80" s="79" t="s">
        <v>170</v>
      </c>
      <c r="I80" s="79" t="s">
        <v>170</v>
      </c>
    </row>
    <row r="81" spans="2:10" s="25" customFormat="1" x14ac:dyDescent="0.3">
      <c r="B81" s="52"/>
      <c r="C81" s="180"/>
      <c r="D81" s="25" t="s">
        <v>171</v>
      </c>
      <c r="E81" s="19"/>
      <c r="F81" s="14">
        <v>2.54</v>
      </c>
      <c r="G81" s="14">
        <v>28.61</v>
      </c>
      <c r="H81" s="14">
        <v>0.03</v>
      </c>
      <c r="I81" s="14">
        <v>0</v>
      </c>
    </row>
    <row r="82" spans="2:10" s="25" customFormat="1" x14ac:dyDescent="0.3">
      <c r="B82" s="52"/>
      <c r="C82" s="180"/>
      <c r="D82" s="25" t="s">
        <v>172</v>
      </c>
      <c r="E82" s="19"/>
      <c r="F82" s="14">
        <v>2</v>
      </c>
      <c r="G82" s="14">
        <v>11.79</v>
      </c>
      <c r="H82" s="14">
        <v>2</v>
      </c>
      <c r="I82" s="14">
        <v>11.79</v>
      </c>
    </row>
    <row r="83" spans="2:10" s="25" customFormat="1" x14ac:dyDescent="0.3">
      <c r="B83" s="52"/>
      <c r="C83" s="180"/>
      <c r="D83" s="25" t="s">
        <v>173</v>
      </c>
      <c r="E83" s="19"/>
      <c r="F83" s="14">
        <v>0.82</v>
      </c>
      <c r="G83" s="14">
        <v>2</v>
      </c>
      <c r="H83" s="14">
        <v>0</v>
      </c>
      <c r="I83" s="14">
        <v>0</v>
      </c>
    </row>
    <row r="84" spans="2:10" s="25" customFormat="1" x14ac:dyDescent="0.3">
      <c r="B84" s="52"/>
      <c r="C84" s="180"/>
      <c r="D84" s="25" t="s">
        <v>174</v>
      </c>
      <c r="E84" s="19"/>
      <c r="F84" s="14">
        <v>0.38</v>
      </c>
      <c r="G84" s="14">
        <v>4.29</v>
      </c>
      <c r="H84" s="14">
        <v>0.04</v>
      </c>
      <c r="I84" s="14">
        <v>0.04</v>
      </c>
    </row>
    <row r="85" spans="2:10" s="25" customFormat="1" x14ac:dyDescent="0.3">
      <c r="B85" s="52"/>
      <c r="C85" s="180"/>
      <c r="D85" s="25" t="s">
        <v>175</v>
      </c>
      <c r="E85" s="19"/>
      <c r="F85" s="14">
        <v>0.05</v>
      </c>
      <c r="G85" s="14">
        <v>0.13</v>
      </c>
      <c r="H85" s="14">
        <v>0.47</v>
      </c>
      <c r="I85" s="14">
        <v>1.3</v>
      </c>
    </row>
    <row r="86" spans="2:10" s="29" customFormat="1" x14ac:dyDescent="0.3">
      <c r="B86" s="28"/>
      <c r="C86" s="179"/>
      <c r="E86" s="19"/>
    </row>
    <row r="87" spans="2:10" s="134" customFormat="1" x14ac:dyDescent="0.3">
      <c r="B87" s="135"/>
      <c r="C87" s="136"/>
      <c r="D87" s="134" t="str">
        <f xml:space="preserve"> D$7</f>
        <v>Inflation (1 AUD in 2007 vs 1 AUD in 2021)</v>
      </c>
      <c r="E87" s="19"/>
      <c r="F87" s="134">
        <f xml:space="preserve"> F$7</f>
        <v>1.3672500000000001</v>
      </c>
      <c r="G87" s="134" t="str">
        <f xml:space="preserve"> G$7</f>
        <v>index</v>
      </c>
      <c r="H87" s="136"/>
    </row>
    <row r="88" spans="2:10" s="134" customFormat="1" x14ac:dyDescent="0.3">
      <c r="B88" s="135"/>
      <c r="C88" s="136"/>
      <c r="D88" s="28" t="s">
        <v>122</v>
      </c>
      <c r="E88" s="19"/>
      <c r="F88" s="79" t="s">
        <v>170</v>
      </c>
      <c r="G88" s="79" t="s">
        <v>170</v>
      </c>
      <c r="H88" s="79" t="s">
        <v>170</v>
      </c>
      <c r="I88" s="79" t="s">
        <v>170</v>
      </c>
    </row>
    <row r="89" spans="2:10" s="25" customFormat="1" x14ac:dyDescent="0.3">
      <c r="B89" s="52"/>
      <c r="C89" s="180"/>
      <c r="D89" s="25" t="s">
        <v>171</v>
      </c>
      <c r="E89" s="19"/>
      <c r="F89" s="30">
        <f t="shared" ref="F89:I93" si="3">F81*$F$87</f>
        <v>3.4728150000000002</v>
      </c>
      <c r="G89" s="25">
        <f t="shared" si="3"/>
        <v>39.117022500000004</v>
      </c>
      <c r="H89" s="25">
        <f t="shared" si="3"/>
        <v>4.1017499999999998E-2</v>
      </c>
      <c r="I89" s="25">
        <f t="shared" si="3"/>
        <v>0</v>
      </c>
    </row>
    <row r="90" spans="2:10" s="25" customFormat="1" x14ac:dyDescent="0.3">
      <c r="B90" s="52"/>
      <c r="C90" s="180"/>
      <c r="D90" s="25" t="s">
        <v>172</v>
      </c>
      <c r="E90" s="19"/>
      <c r="F90" s="30">
        <f t="shared" si="3"/>
        <v>2.7345000000000002</v>
      </c>
      <c r="G90" s="25">
        <f t="shared" si="3"/>
        <v>16.119877500000001</v>
      </c>
      <c r="H90" s="25">
        <f t="shared" si="3"/>
        <v>2.7345000000000002</v>
      </c>
      <c r="I90" s="25">
        <f t="shared" si="3"/>
        <v>16.119877500000001</v>
      </c>
    </row>
    <row r="91" spans="2:10" s="25" customFormat="1" x14ac:dyDescent="0.3">
      <c r="B91" s="52"/>
      <c r="C91" s="180"/>
      <c r="D91" s="25" t="s">
        <v>173</v>
      </c>
      <c r="E91" s="19"/>
      <c r="F91" s="30">
        <f t="shared" si="3"/>
        <v>1.1211450000000001</v>
      </c>
      <c r="G91" s="25">
        <f t="shared" si="3"/>
        <v>2.7345000000000002</v>
      </c>
      <c r="H91" s="25">
        <f t="shared" si="3"/>
        <v>0</v>
      </c>
      <c r="I91" s="25">
        <f t="shared" si="3"/>
        <v>0</v>
      </c>
    </row>
    <row r="92" spans="2:10" s="25" customFormat="1" x14ac:dyDescent="0.3">
      <c r="B92" s="52"/>
      <c r="C92" s="180"/>
      <c r="D92" s="25" t="s">
        <v>174</v>
      </c>
      <c r="E92" s="19"/>
      <c r="F92" s="30">
        <f t="shared" si="3"/>
        <v>0.51955499999999999</v>
      </c>
      <c r="G92" s="25">
        <f t="shared" si="3"/>
        <v>5.8655025000000007</v>
      </c>
      <c r="H92" s="25">
        <f t="shared" si="3"/>
        <v>5.4690000000000003E-2</v>
      </c>
      <c r="I92" s="25">
        <f t="shared" si="3"/>
        <v>5.4690000000000003E-2</v>
      </c>
    </row>
    <row r="93" spans="2:10" s="25" customFormat="1" x14ac:dyDescent="0.3">
      <c r="B93" s="52"/>
      <c r="C93" s="180"/>
      <c r="D93" s="25" t="s">
        <v>175</v>
      </c>
      <c r="E93" s="19"/>
      <c r="F93" s="30">
        <f t="shared" si="3"/>
        <v>6.8362500000000007E-2</v>
      </c>
      <c r="G93" s="25">
        <f t="shared" si="3"/>
        <v>0.17774250000000003</v>
      </c>
      <c r="H93" s="25">
        <f t="shared" si="3"/>
        <v>0.6426075</v>
      </c>
      <c r="I93" s="25">
        <f t="shared" si="3"/>
        <v>1.7774250000000003</v>
      </c>
    </row>
    <row r="94" spans="2:10" s="29" customFormat="1" x14ac:dyDescent="0.3">
      <c r="B94" s="28"/>
      <c r="C94" s="179"/>
      <c r="E94" s="19"/>
    </row>
    <row r="95" spans="2:10" s="29" customFormat="1" x14ac:dyDescent="0.3">
      <c r="B95" s="28"/>
      <c r="C95" s="179" t="s">
        <v>176</v>
      </c>
      <c r="E95" s="19"/>
      <c r="F95" s="28"/>
      <c r="G95" s="28"/>
      <c r="H95" s="28"/>
      <c r="I95" s="28"/>
      <c r="J95" s="136"/>
    </row>
    <row r="96" spans="2:10" s="29" customFormat="1" x14ac:dyDescent="0.3">
      <c r="B96" s="28"/>
      <c r="C96" s="179"/>
      <c r="E96" s="38">
        <f xml:space="preserve"> 'References &amp; Notes'!B$6</f>
        <v>3</v>
      </c>
      <c r="F96" s="28" t="s">
        <v>167</v>
      </c>
      <c r="G96" s="28"/>
      <c r="H96" s="28" t="s">
        <v>168</v>
      </c>
      <c r="I96" s="28"/>
    </row>
    <row r="97" spans="2:9" s="29" customFormat="1" x14ac:dyDescent="0.3">
      <c r="B97" s="28"/>
      <c r="C97" s="179"/>
      <c r="E97" s="19"/>
      <c r="F97" s="73" t="s">
        <v>177</v>
      </c>
      <c r="G97" s="73" t="s">
        <v>178</v>
      </c>
      <c r="H97" s="73" t="s">
        <v>177</v>
      </c>
      <c r="I97" s="73" t="s">
        <v>178</v>
      </c>
    </row>
    <row r="98" spans="2:9" s="29" customFormat="1" x14ac:dyDescent="0.3">
      <c r="B98" s="28"/>
      <c r="C98" s="179"/>
      <c r="D98" s="28" t="s">
        <v>121</v>
      </c>
      <c r="E98" s="19"/>
      <c r="F98" s="136" t="s">
        <v>458</v>
      </c>
      <c r="G98" s="136" t="s">
        <v>458</v>
      </c>
      <c r="H98" s="136" t="s">
        <v>458</v>
      </c>
      <c r="I98" s="136" t="s">
        <v>458</v>
      </c>
    </row>
    <row r="99" spans="2:9" s="25" customFormat="1" x14ac:dyDescent="0.3">
      <c r="B99" s="52"/>
      <c r="C99" s="180"/>
      <c r="D99" s="25" t="s">
        <v>171</v>
      </c>
      <c r="E99" s="19"/>
      <c r="F99" s="14">
        <v>158.93</v>
      </c>
      <c r="G99" s="14">
        <v>21.19</v>
      </c>
      <c r="H99" s="14">
        <v>0</v>
      </c>
      <c r="I99" s="14">
        <v>0.21</v>
      </c>
    </row>
    <row r="100" spans="2:9" s="25" customFormat="1" x14ac:dyDescent="0.3">
      <c r="B100" s="52"/>
      <c r="C100" s="180"/>
      <c r="D100" s="25" t="s">
        <v>172</v>
      </c>
      <c r="E100" s="19"/>
      <c r="F100" s="14">
        <v>49.5</v>
      </c>
      <c r="G100" s="14">
        <v>4.71</v>
      </c>
      <c r="H100" s="14">
        <v>49.5</v>
      </c>
      <c r="I100" s="14">
        <v>4.71</v>
      </c>
    </row>
    <row r="101" spans="2:9" s="25" customFormat="1" x14ac:dyDescent="0.3">
      <c r="B101" s="52"/>
      <c r="C101" s="180"/>
      <c r="D101" s="25" t="s">
        <v>173</v>
      </c>
      <c r="E101" s="19"/>
      <c r="F101" s="14">
        <v>27.1</v>
      </c>
      <c r="G101" s="14">
        <v>3.54</v>
      </c>
      <c r="H101" s="14">
        <v>0</v>
      </c>
      <c r="I101" s="14">
        <v>0.35</v>
      </c>
    </row>
    <row r="102" spans="2:9" s="25" customFormat="1" x14ac:dyDescent="0.3">
      <c r="B102" s="52"/>
      <c r="C102" s="180"/>
      <c r="D102" s="25" t="s">
        <v>174</v>
      </c>
      <c r="E102" s="19"/>
      <c r="F102" s="14">
        <v>23.84</v>
      </c>
      <c r="G102" s="14">
        <v>3.18</v>
      </c>
      <c r="H102" s="14">
        <v>0.24</v>
      </c>
      <c r="I102" s="14">
        <v>1.27</v>
      </c>
    </row>
    <row r="103" spans="2:9" s="25" customFormat="1" x14ac:dyDescent="0.3">
      <c r="B103" s="52"/>
      <c r="C103" s="180"/>
      <c r="D103" s="25" t="s">
        <v>175</v>
      </c>
      <c r="E103" s="19"/>
      <c r="F103" s="14">
        <v>17.68</v>
      </c>
      <c r="G103" s="14">
        <v>0.35</v>
      </c>
      <c r="H103" s="14">
        <v>0.18</v>
      </c>
      <c r="I103" s="14">
        <v>3.54</v>
      </c>
    </row>
    <row r="104" spans="2:9" s="29" customFormat="1" x14ac:dyDescent="0.3">
      <c r="B104" s="28"/>
      <c r="C104" s="179"/>
      <c r="E104" s="19"/>
    </row>
    <row r="105" spans="2:9" s="134" customFormat="1" x14ac:dyDescent="0.3">
      <c r="B105" s="135"/>
      <c r="C105" s="136"/>
      <c r="D105" s="134" t="str">
        <f xml:space="preserve"> D$7</f>
        <v>Inflation (1 AUD in 2007 vs 1 AUD in 2021)</v>
      </c>
      <c r="E105" s="19"/>
      <c r="F105" s="134">
        <f xml:space="preserve"> F$7</f>
        <v>1.3672500000000001</v>
      </c>
      <c r="G105" s="134" t="str">
        <f xml:space="preserve"> G$7</f>
        <v>index</v>
      </c>
      <c r="H105" s="136"/>
    </row>
    <row r="106" spans="2:9" s="134" customFormat="1" x14ac:dyDescent="0.3">
      <c r="B106" s="135"/>
      <c r="C106" s="136"/>
      <c r="D106" s="28" t="s">
        <v>122</v>
      </c>
      <c r="E106" s="19"/>
      <c r="F106" s="136" t="s">
        <v>458</v>
      </c>
      <c r="G106" s="136" t="s">
        <v>458</v>
      </c>
      <c r="H106" s="136" t="s">
        <v>458</v>
      </c>
      <c r="I106" s="136" t="s">
        <v>458</v>
      </c>
    </row>
    <row r="107" spans="2:9" s="25" customFormat="1" x14ac:dyDescent="0.3">
      <c r="B107" s="52"/>
      <c r="C107" s="180"/>
      <c r="D107" s="25" t="s">
        <v>171</v>
      </c>
      <c r="E107" s="19"/>
      <c r="F107" s="30">
        <f t="shared" ref="F107:I111" si="4">F99*$F$105</f>
        <v>217.29704250000003</v>
      </c>
      <c r="G107" s="25">
        <f t="shared" si="4"/>
        <v>28.972027500000003</v>
      </c>
      <c r="H107" s="25">
        <f t="shared" si="4"/>
        <v>0</v>
      </c>
      <c r="I107" s="25">
        <f t="shared" si="4"/>
        <v>0.2871225</v>
      </c>
    </row>
    <row r="108" spans="2:9" s="25" customFormat="1" x14ac:dyDescent="0.3">
      <c r="B108" s="52"/>
      <c r="C108" s="180"/>
      <c r="D108" s="25" t="s">
        <v>172</v>
      </c>
      <c r="E108" s="19"/>
      <c r="F108" s="30">
        <f t="shared" si="4"/>
        <v>67.678875000000005</v>
      </c>
      <c r="G108" s="25">
        <f t="shared" si="4"/>
        <v>6.4397475000000002</v>
      </c>
      <c r="H108" s="25">
        <f t="shared" si="4"/>
        <v>67.678875000000005</v>
      </c>
      <c r="I108" s="25">
        <f t="shared" si="4"/>
        <v>6.4397475000000002</v>
      </c>
    </row>
    <row r="109" spans="2:9" s="25" customFormat="1" x14ac:dyDescent="0.3">
      <c r="B109" s="52"/>
      <c r="C109" s="180"/>
      <c r="D109" s="25" t="s">
        <v>173</v>
      </c>
      <c r="E109" s="19"/>
      <c r="F109" s="30">
        <f t="shared" si="4"/>
        <v>37.052475000000001</v>
      </c>
      <c r="G109" s="25">
        <f t="shared" si="4"/>
        <v>4.8400650000000001</v>
      </c>
      <c r="H109" s="25">
        <f t="shared" si="4"/>
        <v>0</v>
      </c>
      <c r="I109" s="25">
        <f t="shared" si="4"/>
        <v>0.4785375</v>
      </c>
    </row>
    <row r="110" spans="2:9" s="25" customFormat="1" x14ac:dyDescent="0.3">
      <c r="B110" s="52"/>
      <c r="C110" s="180"/>
      <c r="D110" s="25" t="s">
        <v>174</v>
      </c>
      <c r="E110" s="19"/>
      <c r="F110" s="30">
        <f t="shared" si="4"/>
        <v>32.595240000000004</v>
      </c>
      <c r="G110" s="25">
        <f t="shared" si="4"/>
        <v>4.347855</v>
      </c>
      <c r="H110" s="25">
        <f t="shared" si="4"/>
        <v>0.32813999999999999</v>
      </c>
      <c r="I110" s="25">
        <f t="shared" si="4"/>
        <v>1.7364075000000001</v>
      </c>
    </row>
    <row r="111" spans="2:9" s="25" customFormat="1" x14ac:dyDescent="0.3">
      <c r="B111" s="52"/>
      <c r="C111" s="180"/>
      <c r="D111" s="25" t="s">
        <v>175</v>
      </c>
      <c r="E111" s="19"/>
      <c r="F111" s="30">
        <f t="shared" si="4"/>
        <v>24.172980000000003</v>
      </c>
      <c r="G111" s="25">
        <f t="shared" si="4"/>
        <v>0.4785375</v>
      </c>
      <c r="H111" s="25">
        <f t="shared" si="4"/>
        <v>0.24610500000000002</v>
      </c>
      <c r="I111" s="25">
        <f t="shared" si="4"/>
        <v>4.8400650000000001</v>
      </c>
    </row>
    <row r="112" spans="2:9" s="29" customFormat="1" x14ac:dyDescent="0.3">
      <c r="B112" s="28"/>
      <c r="C112" s="179"/>
      <c r="E112" s="19"/>
    </row>
    <row r="113" spans="2:10" s="29" customFormat="1" x14ac:dyDescent="0.3">
      <c r="B113" s="28"/>
      <c r="C113" s="179" t="s">
        <v>179</v>
      </c>
      <c r="E113" s="19"/>
    </row>
    <row r="114" spans="2:10" s="75" customFormat="1" x14ac:dyDescent="0.3">
      <c r="B114" s="142"/>
      <c r="C114" s="181"/>
      <c r="D114" s="75" t="s">
        <v>180</v>
      </c>
      <c r="E114" s="301">
        <f xml:space="preserve"> 'References &amp; Notes'!B$7</f>
        <v>4</v>
      </c>
    </row>
    <row r="115" spans="2:10" s="75" customFormat="1" x14ac:dyDescent="0.3">
      <c r="B115" s="142"/>
      <c r="C115" s="181"/>
      <c r="D115" s="75" t="s">
        <v>181</v>
      </c>
      <c r="E115" s="301">
        <f xml:space="preserve"> 'References &amp; Notes'!B$8</f>
        <v>5</v>
      </c>
    </row>
    <row r="116" spans="2:10" s="75" customFormat="1" x14ac:dyDescent="0.3">
      <c r="B116" s="142"/>
      <c r="C116" s="181"/>
      <c r="D116" s="75" t="s">
        <v>182</v>
      </c>
      <c r="E116" s="301">
        <f xml:space="preserve"> 'References &amp; Notes'!B$9</f>
        <v>6</v>
      </c>
    </row>
    <row r="117" spans="2:10" s="75" customFormat="1" x14ac:dyDescent="0.3">
      <c r="B117" s="142"/>
      <c r="C117" s="181"/>
      <c r="D117" s="75" t="s">
        <v>183</v>
      </c>
      <c r="E117" s="301">
        <f xml:space="preserve"> 'References &amp; Notes'!B$10</f>
        <v>7</v>
      </c>
    </row>
    <row r="118" spans="2:10" s="75" customFormat="1" x14ac:dyDescent="0.3">
      <c r="B118" s="142"/>
      <c r="C118" s="181"/>
      <c r="D118" s="75" t="s">
        <v>184</v>
      </c>
      <c r="E118" s="301">
        <f xml:space="preserve"> 'References &amp; Notes'!B$11</f>
        <v>8</v>
      </c>
    </row>
    <row r="120" spans="2:10" s="19" customFormat="1" x14ac:dyDescent="0.3">
      <c r="B120" s="15" t="s">
        <v>185</v>
      </c>
      <c r="C120" s="154"/>
      <c r="F120" s="20"/>
      <c r="H120" s="143"/>
      <c r="I120" s="143"/>
    </row>
    <row r="121" spans="2:10" s="134" customFormat="1" x14ac:dyDescent="0.3">
      <c r="B121" s="135"/>
      <c r="C121" s="136"/>
      <c r="D121" s="134" t="str">
        <f xml:space="preserve"> D$6</f>
        <v>Inflation (1 AUD in 2020 vs 1 AUD in 2021)</v>
      </c>
      <c r="E121" s="19"/>
      <c r="F121" s="134">
        <f xml:space="preserve"> F$6</f>
        <v>1.0317499999999999</v>
      </c>
      <c r="G121" s="134" t="str">
        <f xml:space="preserve"> G$6</f>
        <v>index</v>
      </c>
      <c r="H121" s="136"/>
    </row>
    <row r="122" spans="2:10" s="25" customFormat="1" x14ac:dyDescent="0.3">
      <c r="B122" s="52"/>
      <c r="C122" s="180"/>
      <c r="D122" s="25" t="str">
        <f xml:space="preserve"> D$5</f>
        <v>Exchange rate USD to AUD</v>
      </c>
      <c r="F122" s="25">
        <f xml:space="preserve"> F$5</f>
        <v>0.7</v>
      </c>
      <c r="G122" s="25" t="str">
        <f t="shared" ref="G122" si="5" xml:space="preserve"> G$5</f>
        <v>AUD/USD</v>
      </c>
      <c r="H122" s="180"/>
    </row>
    <row r="123" spans="2:10" s="76" customFormat="1" x14ac:dyDescent="0.3">
      <c r="B123" s="18"/>
      <c r="C123" s="182"/>
      <c r="E123" s="38">
        <f xml:space="preserve"> 'References &amp; Notes'!B$12</f>
        <v>9</v>
      </c>
      <c r="F123" s="77" t="s">
        <v>186</v>
      </c>
      <c r="G123" s="74" t="s">
        <v>187</v>
      </c>
      <c r="H123" s="74" t="s">
        <v>187</v>
      </c>
      <c r="I123" s="74" t="s">
        <v>187</v>
      </c>
    </row>
    <row r="124" spans="2:10" s="76" customFormat="1" x14ac:dyDescent="0.3">
      <c r="B124" s="18"/>
      <c r="C124" s="182"/>
      <c r="D124" s="23"/>
      <c r="E124" s="19"/>
      <c r="F124" s="171" t="s">
        <v>188</v>
      </c>
      <c r="G124" s="171" t="s">
        <v>189</v>
      </c>
      <c r="H124" s="246" t="s">
        <v>122</v>
      </c>
      <c r="I124" s="246" t="s">
        <v>122</v>
      </c>
    </row>
    <row r="125" spans="2:10" s="76" customFormat="1" x14ac:dyDescent="0.3">
      <c r="B125" s="18"/>
      <c r="C125" s="182"/>
      <c r="D125" s="28" t="s">
        <v>122</v>
      </c>
      <c r="E125" s="19"/>
      <c r="F125" s="81" t="s">
        <v>190</v>
      </c>
      <c r="G125" s="81" t="s">
        <v>191</v>
      </c>
      <c r="H125" s="81" t="s">
        <v>191</v>
      </c>
      <c r="I125" s="81" t="s">
        <v>192</v>
      </c>
    </row>
    <row r="126" spans="2:10" s="76" customFormat="1" ht="5.0999999999999996" customHeight="1" x14ac:dyDescent="0.3">
      <c r="B126" s="18"/>
      <c r="C126" s="182"/>
      <c r="D126" s="262"/>
      <c r="E126" s="245"/>
      <c r="F126" s="263"/>
      <c r="G126" s="263"/>
      <c r="H126" s="263"/>
      <c r="I126" s="263"/>
    </row>
    <row r="127" spans="2:10" x14ac:dyDescent="0.3">
      <c r="B127" s="15"/>
      <c r="D127" t="s">
        <v>60</v>
      </c>
      <c r="F127" s="144">
        <v>15.9306</v>
      </c>
      <c r="G127" s="145">
        <v>1420</v>
      </c>
      <c r="H127" s="8">
        <f t="shared" ref="H127:H159" si="6" xml:space="preserve"> G127 * $F$121</f>
        <v>1465.0849999999998</v>
      </c>
      <c r="I127" s="8">
        <f xml:space="preserve"> H127 * $F$122</f>
        <v>1025.5594999999998</v>
      </c>
      <c r="J127" s="9"/>
    </row>
    <row r="128" spans="2:10" x14ac:dyDescent="0.3">
      <c r="B128" s="15"/>
      <c r="D128" t="s">
        <v>193</v>
      </c>
      <c r="F128" s="144">
        <v>4.6569000000000003</v>
      </c>
      <c r="G128" s="145">
        <v>2916.5</v>
      </c>
      <c r="H128" s="9">
        <f t="shared" si="6"/>
        <v>3009.0988749999997</v>
      </c>
      <c r="I128" s="8">
        <f t="shared" ref="I128:I159" si="7" xml:space="preserve"> H128 * $F$122</f>
        <v>2106.3692124999998</v>
      </c>
      <c r="J128" s="9"/>
    </row>
    <row r="129" spans="2:10" x14ac:dyDescent="0.3">
      <c r="B129" s="15"/>
      <c r="D129" t="s">
        <v>194</v>
      </c>
      <c r="F129" s="144">
        <v>30.392800000000001</v>
      </c>
      <c r="G129" s="145">
        <v>1195.8</v>
      </c>
      <c r="H129" s="9">
        <f t="shared" si="6"/>
        <v>1233.7666499999998</v>
      </c>
      <c r="I129" s="8">
        <f t="shared" si="7"/>
        <v>863.63665499999979</v>
      </c>
      <c r="J129" s="9"/>
    </row>
    <row r="130" spans="2:10" x14ac:dyDescent="0.3">
      <c r="B130" s="15"/>
      <c r="D130" t="s">
        <v>195</v>
      </c>
      <c r="F130" s="144">
        <v>2.0089999999999999</v>
      </c>
      <c r="G130" s="145">
        <v>204.3</v>
      </c>
      <c r="H130" s="9">
        <f t="shared" si="6"/>
        <v>210.78652500000001</v>
      </c>
      <c r="I130" s="8">
        <f t="shared" si="7"/>
        <v>147.5505675</v>
      </c>
      <c r="J130" s="9"/>
    </row>
    <row r="131" spans="2:10" x14ac:dyDescent="0.3">
      <c r="B131" s="15"/>
      <c r="D131" t="s">
        <v>196</v>
      </c>
      <c r="F131" s="144">
        <v>5.415</v>
      </c>
      <c r="G131" s="145">
        <v>3130.4</v>
      </c>
      <c r="H131" s="9">
        <f t="shared" si="6"/>
        <v>3229.7901999999999</v>
      </c>
      <c r="I131" s="8">
        <f t="shared" si="7"/>
        <v>2260.8531399999997</v>
      </c>
      <c r="J131" s="9"/>
    </row>
    <row r="132" spans="2:10" x14ac:dyDescent="0.3">
      <c r="B132" s="15"/>
      <c r="D132" t="s">
        <v>197</v>
      </c>
      <c r="F132" s="144">
        <v>2.5540000000000003</v>
      </c>
      <c r="G132" s="145">
        <v>7816.8</v>
      </c>
      <c r="H132" s="9">
        <f t="shared" si="6"/>
        <v>8064.9834000000001</v>
      </c>
      <c r="I132" s="8">
        <f t="shared" si="7"/>
        <v>5645.4883799999998</v>
      </c>
      <c r="J132" s="9"/>
    </row>
    <row r="133" spans="2:10" x14ac:dyDescent="0.3">
      <c r="B133" s="15"/>
      <c r="D133" t="s">
        <v>198</v>
      </c>
      <c r="F133" s="144">
        <v>34.673999999999999</v>
      </c>
      <c r="G133" s="145">
        <v>600.79999999999995</v>
      </c>
      <c r="H133" s="9">
        <f t="shared" si="6"/>
        <v>619.8753999999999</v>
      </c>
      <c r="I133" s="8">
        <f t="shared" si="7"/>
        <v>433.91277999999988</v>
      </c>
      <c r="J133" s="9"/>
    </row>
    <row r="134" spans="2:10" x14ac:dyDescent="0.3">
      <c r="B134" s="15"/>
      <c r="D134" t="s">
        <v>199</v>
      </c>
      <c r="F134" s="144">
        <v>56.942399999999999</v>
      </c>
      <c r="G134" s="145">
        <v>634.4</v>
      </c>
      <c r="H134" s="9">
        <f t="shared" si="6"/>
        <v>654.54219999999998</v>
      </c>
      <c r="I134" s="8">
        <f t="shared" si="7"/>
        <v>458.17953999999997</v>
      </c>
      <c r="J134" s="9"/>
    </row>
    <row r="135" spans="2:10" x14ac:dyDescent="0.3">
      <c r="B135" s="15"/>
      <c r="D135" t="s">
        <v>200</v>
      </c>
      <c r="F135" s="144">
        <v>12.5603</v>
      </c>
      <c r="G135" s="145">
        <v>824</v>
      </c>
      <c r="H135" s="9">
        <f t="shared" si="6"/>
        <v>850.16199999999992</v>
      </c>
      <c r="I135" s="8">
        <f t="shared" si="7"/>
        <v>595.11339999999996</v>
      </c>
      <c r="J135" s="9"/>
    </row>
    <row r="136" spans="2:10" x14ac:dyDescent="0.3">
      <c r="B136" s="15"/>
      <c r="D136" t="s">
        <v>201</v>
      </c>
      <c r="F136" s="144">
        <v>6.8569000000000004</v>
      </c>
      <c r="G136" s="145">
        <v>9679.2999999999993</v>
      </c>
      <c r="H136" s="9">
        <f t="shared" si="6"/>
        <v>9986.6177749999988</v>
      </c>
      <c r="I136" s="8">
        <f t="shared" si="7"/>
        <v>6990.6324424999984</v>
      </c>
      <c r="J136" s="9"/>
    </row>
    <row r="137" spans="2:10" x14ac:dyDescent="0.3">
      <c r="B137" s="15"/>
      <c r="D137" t="s">
        <v>202</v>
      </c>
      <c r="F137" s="144">
        <v>1.0692000000000002</v>
      </c>
      <c r="G137" s="145">
        <v>523.6</v>
      </c>
      <c r="H137" s="9">
        <f t="shared" si="6"/>
        <v>540.22429999999997</v>
      </c>
      <c r="I137" s="8">
        <f t="shared" si="7"/>
        <v>378.15700999999996</v>
      </c>
      <c r="J137" s="9"/>
    </row>
    <row r="138" spans="2:10" x14ac:dyDescent="0.3">
      <c r="B138" s="15"/>
      <c r="D138" t="s">
        <v>203</v>
      </c>
      <c r="F138" s="144">
        <v>21.966699999999999</v>
      </c>
      <c r="G138" s="145">
        <v>1256.2</v>
      </c>
      <c r="H138" s="9">
        <f t="shared" si="6"/>
        <v>1296.0843500000001</v>
      </c>
      <c r="I138" s="8">
        <f t="shared" si="7"/>
        <v>907.25904500000001</v>
      </c>
      <c r="J138" s="9"/>
    </row>
    <row r="139" spans="2:10" x14ac:dyDescent="0.3">
      <c r="B139" s="15"/>
      <c r="D139" t="s">
        <v>61</v>
      </c>
      <c r="F139" s="144">
        <v>7.0912000000000006</v>
      </c>
      <c r="G139" s="145">
        <v>329.8</v>
      </c>
      <c r="H139" s="9">
        <f t="shared" si="6"/>
        <v>340.27114999999998</v>
      </c>
      <c r="I139" s="8">
        <f t="shared" si="7"/>
        <v>238.18980499999998</v>
      </c>
      <c r="J139" s="9"/>
    </row>
    <row r="140" spans="2:10" x14ac:dyDescent="0.3">
      <c r="B140" s="15"/>
      <c r="D140" t="s">
        <v>204</v>
      </c>
      <c r="F140" s="144">
        <v>11.7317</v>
      </c>
      <c r="G140" s="145">
        <v>1375.7</v>
      </c>
      <c r="H140" s="9">
        <f t="shared" si="6"/>
        <v>1419.378475</v>
      </c>
      <c r="I140" s="8">
        <f t="shared" si="7"/>
        <v>993.56493249999994</v>
      </c>
      <c r="J140" s="9"/>
    </row>
    <row r="141" spans="2:10" x14ac:dyDescent="0.3">
      <c r="B141" s="15"/>
      <c r="D141" t="s">
        <v>205</v>
      </c>
      <c r="F141" s="144">
        <v>3.8168000000000002</v>
      </c>
      <c r="G141" s="145">
        <v>1885.7</v>
      </c>
      <c r="H141" s="9">
        <f t="shared" si="6"/>
        <v>1945.5709749999999</v>
      </c>
      <c r="I141" s="8">
        <f t="shared" si="7"/>
        <v>1361.8996824999999</v>
      </c>
      <c r="J141" s="9"/>
    </row>
    <row r="142" spans="2:10" x14ac:dyDescent="0.3">
      <c r="B142" s="15"/>
      <c r="D142" t="s">
        <v>459</v>
      </c>
      <c r="F142" s="144">
        <v>34.001200000000004</v>
      </c>
      <c r="G142" s="145">
        <v>594.4</v>
      </c>
      <c r="H142" s="9">
        <f t="shared" si="6"/>
        <v>613.2722</v>
      </c>
      <c r="I142" s="8">
        <f t="shared" si="7"/>
        <v>429.29053999999996</v>
      </c>
      <c r="J142" s="9"/>
    </row>
    <row r="143" spans="2:10" x14ac:dyDescent="0.3">
      <c r="B143" s="15"/>
      <c r="D143" t="s">
        <v>206</v>
      </c>
      <c r="F143" s="144">
        <v>371.01519999999999</v>
      </c>
      <c r="G143" s="145">
        <v>4813.7</v>
      </c>
      <c r="H143" s="9">
        <f t="shared" si="6"/>
        <v>4966.5349749999996</v>
      </c>
      <c r="I143" s="8">
        <f t="shared" si="7"/>
        <v>3476.5744824999997</v>
      </c>
      <c r="J143" s="9"/>
    </row>
    <row r="144" spans="2:10" x14ac:dyDescent="0.3">
      <c r="B144" s="15"/>
      <c r="D144" t="s">
        <v>207</v>
      </c>
      <c r="F144" s="144">
        <v>1.8648</v>
      </c>
      <c r="G144" s="145">
        <v>4248.1000000000004</v>
      </c>
      <c r="H144" s="9">
        <f t="shared" si="6"/>
        <v>4382.977175</v>
      </c>
      <c r="I144" s="8">
        <f t="shared" si="7"/>
        <v>3068.0840224999997</v>
      </c>
      <c r="J144" s="9"/>
    </row>
    <row r="145" spans="2:10" x14ac:dyDescent="0.3">
      <c r="B145" s="15"/>
      <c r="D145" t="s">
        <v>208</v>
      </c>
      <c r="F145" s="144">
        <v>1.4007000000000001</v>
      </c>
      <c r="G145" s="145">
        <v>255.8</v>
      </c>
      <c r="H145" s="9">
        <f t="shared" si="6"/>
        <v>263.92165</v>
      </c>
      <c r="I145" s="8">
        <f t="shared" si="7"/>
        <v>184.74515499999998</v>
      </c>
      <c r="J145" s="9"/>
    </row>
    <row r="146" spans="2:10" x14ac:dyDescent="0.3">
      <c r="B146" s="15"/>
      <c r="D146" t="s">
        <v>209</v>
      </c>
      <c r="F146" s="144">
        <v>2.3944000000000001</v>
      </c>
      <c r="G146" s="145">
        <v>877.4</v>
      </c>
      <c r="H146" s="9">
        <f t="shared" si="6"/>
        <v>905.25744999999995</v>
      </c>
      <c r="I146" s="8">
        <f t="shared" si="7"/>
        <v>633.68021499999998</v>
      </c>
      <c r="J146" s="9"/>
    </row>
    <row r="147" spans="2:10" x14ac:dyDescent="0.3">
      <c r="B147" s="15"/>
      <c r="D147" t="s">
        <v>210</v>
      </c>
      <c r="F147" s="144">
        <v>54.669499999999999</v>
      </c>
      <c r="G147" s="145">
        <v>432.2</v>
      </c>
      <c r="H147" s="9">
        <f t="shared" si="6"/>
        <v>445.92234999999994</v>
      </c>
      <c r="I147" s="8">
        <f t="shared" si="7"/>
        <v>312.14564499999994</v>
      </c>
      <c r="J147" s="9"/>
    </row>
    <row r="148" spans="2:10" x14ac:dyDescent="0.3">
      <c r="B148" s="15"/>
      <c r="D148" t="s">
        <v>211</v>
      </c>
      <c r="F148" s="144">
        <v>19.481200000000001</v>
      </c>
      <c r="G148" s="145">
        <v>929.8</v>
      </c>
      <c r="H148" s="9">
        <f t="shared" si="6"/>
        <v>959.32114999999988</v>
      </c>
      <c r="I148" s="8">
        <f t="shared" si="7"/>
        <v>671.5248049999999</v>
      </c>
      <c r="J148" s="9"/>
    </row>
    <row r="149" spans="2:10" x14ac:dyDescent="0.3">
      <c r="B149" s="15"/>
      <c r="D149" t="s">
        <v>212</v>
      </c>
      <c r="F149" s="144">
        <v>7.1105</v>
      </c>
      <c r="G149" s="145">
        <v>1665.4</v>
      </c>
      <c r="H149" s="9">
        <f t="shared" si="6"/>
        <v>1718.2764500000001</v>
      </c>
      <c r="I149" s="8">
        <f t="shared" si="7"/>
        <v>1202.7935150000001</v>
      </c>
      <c r="J149" s="9"/>
    </row>
    <row r="150" spans="2:10" x14ac:dyDescent="0.3">
      <c r="B150" s="15"/>
      <c r="D150" t="s">
        <v>213</v>
      </c>
      <c r="F150" s="144">
        <v>17.768700000000003</v>
      </c>
      <c r="G150" s="145">
        <v>559.20000000000005</v>
      </c>
      <c r="H150" s="9">
        <f t="shared" si="6"/>
        <v>576.95460000000003</v>
      </c>
      <c r="I150" s="8">
        <f t="shared" si="7"/>
        <v>403.86822000000001</v>
      </c>
      <c r="J150" s="9"/>
    </row>
    <row r="151" spans="2:10" x14ac:dyDescent="0.3">
      <c r="B151" s="15"/>
      <c r="D151" t="s">
        <v>214</v>
      </c>
      <c r="F151" s="144">
        <v>36.484700000000004</v>
      </c>
      <c r="G151" s="145">
        <v>607.9</v>
      </c>
      <c r="H151" s="9">
        <f t="shared" si="6"/>
        <v>627.2008249999999</v>
      </c>
      <c r="I151" s="8">
        <f t="shared" si="7"/>
        <v>439.04057749999993</v>
      </c>
      <c r="J151" s="9"/>
    </row>
    <row r="152" spans="2:10" x14ac:dyDescent="0.3">
      <c r="B152" s="15"/>
      <c r="D152" t="s">
        <v>215</v>
      </c>
      <c r="F152" s="144">
        <v>39.796700000000001</v>
      </c>
      <c r="G152" s="145">
        <v>416.6</v>
      </c>
      <c r="H152" s="9">
        <f t="shared" si="6"/>
        <v>429.82704999999999</v>
      </c>
      <c r="I152" s="8">
        <f t="shared" si="7"/>
        <v>300.87893499999996</v>
      </c>
      <c r="J152" s="9"/>
    </row>
    <row r="153" spans="2:10" x14ac:dyDescent="0.3">
      <c r="B153" s="15"/>
      <c r="D153" t="s">
        <v>216</v>
      </c>
      <c r="F153" s="144">
        <v>1.1300000000000001</v>
      </c>
      <c r="G153" s="145">
        <v>410.5</v>
      </c>
      <c r="H153" s="9">
        <f t="shared" si="6"/>
        <v>423.53337499999998</v>
      </c>
      <c r="I153" s="8">
        <f t="shared" si="7"/>
        <v>296.47336249999995</v>
      </c>
      <c r="J153" s="9"/>
    </row>
    <row r="154" spans="2:10" x14ac:dyDescent="0.3">
      <c r="B154" s="15"/>
      <c r="D154" t="s">
        <v>217</v>
      </c>
      <c r="F154" s="144">
        <v>10.0312</v>
      </c>
      <c r="G154" s="145">
        <v>529.4</v>
      </c>
      <c r="H154" s="9">
        <f t="shared" si="6"/>
        <v>546.20844999999997</v>
      </c>
      <c r="I154" s="8">
        <f t="shared" si="7"/>
        <v>382.34591499999993</v>
      </c>
      <c r="J154" s="9"/>
    </row>
    <row r="155" spans="2:10" x14ac:dyDescent="0.3">
      <c r="B155" s="15"/>
      <c r="D155" t="s">
        <v>218</v>
      </c>
      <c r="F155" s="144">
        <v>25.2486</v>
      </c>
      <c r="G155" s="145">
        <v>4514.8</v>
      </c>
      <c r="H155" s="9">
        <f t="shared" si="6"/>
        <v>4658.1449000000002</v>
      </c>
      <c r="I155" s="8">
        <f t="shared" si="7"/>
        <v>3260.7014300000001</v>
      </c>
      <c r="J155" s="9"/>
    </row>
    <row r="156" spans="2:10" x14ac:dyDescent="0.3">
      <c r="B156" s="15"/>
      <c r="D156" t="s">
        <v>219</v>
      </c>
      <c r="F156" s="144">
        <v>82.645499999999998</v>
      </c>
      <c r="G156" s="145">
        <v>28.5</v>
      </c>
      <c r="H156" s="9">
        <f t="shared" si="6"/>
        <v>29.404874999999997</v>
      </c>
      <c r="I156" s="8">
        <f t="shared" si="7"/>
        <v>20.583412499999998</v>
      </c>
      <c r="J156" s="9"/>
    </row>
    <row r="157" spans="2:10" x14ac:dyDescent="0.3">
      <c r="B157" s="15"/>
      <c r="D157" t="s">
        <v>220</v>
      </c>
      <c r="F157" s="144">
        <v>23.487100000000002</v>
      </c>
      <c r="G157" s="145">
        <v>1473.2</v>
      </c>
      <c r="H157" s="9">
        <f t="shared" si="6"/>
        <v>1519.9740999999999</v>
      </c>
      <c r="I157" s="8">
        <f t="shared" si="7"/>
        <v>1063.9818699999998</v>
      </c>
      <c r="J157" s="9"/>
    </row>
    <row r="158" spans="2:10" x14ac:dyDescent="0.3">
      <c r="B158" s="15"/>
      <c r="D158" t="s">
        <v>221</v>
      </c>
      <c r="F158" s="144">
        <v>75.944299999999998</v>
      </c>
      <c r="G158" s="145">
        <v>1110.0999999999999</v>
      </c>
      <c r="H158" s="9">
        <f t="shared" si="6"/>
        <v>1145.3456749999998</v>
      </c>
      <c r="I158" s="8">
        <f t="shared" si="7"/>
        <v>801.74197249999986</v>
      </c>
      <c r="J158" s="9"/>
    </row>
    <row r="159" spans="2:10" x14ac:dyDescent="0.3">
      <c r="B159" s="15"/>
      <c r="D159" t="s">
        <v>222</v>
      </c>
      <c r="F159" s="144">
        <v>1.4681</v>
      </c>
      <c r="G159" s="145">
        <v>235.2</v>
      </c>
      <c r="H159" s="9">
        <f t="shared" si="6"/>
        <v>242.66759999999996</v>
      </c>
      <c r="I159" s="8">
        <f t="shared" si="7"/>
        <v>169.86731999999998</v>
      </c>
      <c r="J159" s="9"/>
    </row>
    <row r="160" spans="2:10" s="76" customFormat="1" ht="5.0999999999999996" customHeight="1" x14ac:dyDescent="0.3">
      <c r="B160" s="18"/>
      <c r="C160" s="182"/>
      <c r="D160" s="262"/>
      <c r="E160" s="245"/>
      <c r="F160" s="263"/>
      <c r="G160" s="263"/>
      <c r="H160" s="263"/>
      <c r="I160" s="263"/>
    </row>
    <row r="161" spans="2:9" x14ac:dyDescent="0.3">
      <c r="D161" s="3"/>
      <c r="F161" s="3"/>
      <c r="H161" s="3"/>
      <c r="I161" s="3"/>
    </row>
    <row r="162" spans="2:9" x14ac:dyDescent="0.3">
      <c r="D162" s="86" t="s">
        <v>223</v>
      </c>
      <c r="E162" s="19"/>
      <c r="F162" s="71">
        <v>50</v>
      </c>
      <c r="G162" s="86" t="s">
        <v>224</v>
      </c>
      <c r="H162" s="3"/>
      <c r="I162" s="3"/>
    </row>
    <row r="163" spans="2:9" x14ac:dyDescent="0.3">
      <c r="D163" s="3"/>
      <c r="F163" s="3"/>
      <c r="H163" s="3"/>
      <c r="I163" s="3"/>
    </row>
    <row r="164" spans="2:9" s="47" customFormat="1" x14ac:dyDescent="0.3">
      <c r="B164" s="48" t="s">
        <v>225</v>
      </c>
      <c r="C164" s="175"/>
      <c r="E164" s="9"/>
    </row>
    <row r="165" spans="2:9" x14ac:dyDescent="0.3">
      <c r="D165" s="46" t="s">
        <v>226</v>
      </c>
      <c r="E165" s="10"/>
      <c r="F165" s="14">
        <v>100</v>
      </c>
      <c r="G165" s="47" t="s">
        <v>227</v>
      </c>
      <c r="H165" s="3"/>
      <c r="I165" s="3"/>
    </row>
    <row r="166" spans="2:9" s="25" customFormat="1" x14ac:dyDescent="0.3">
      <c r="B166" s="52"/>
      <c r="C166" s="180"/>
      <c r="D166" s="25" t="str">
        <f xml:space="preserve"> D$5</f>
        <v>Exchange rate USD to AUD</v>
      </c>
      <c r="F166" s="25">
        <f t="shared" ref="F166:G166" si="8" xml:space="preserve"> F$5</f>
        <v>0.7</v>
      </c>
      <c r="G166" s="25" t="str">
        <f t="shared" si="8"/>
        <v>AUD/USD</v>
      </c>
      <c r="H166" s="180"/>
    </row>
    <row r="167" spans="2:9" s="25" customFormat="1" x14ac:dyDescent="0.3">
      <c r="B167" s="52"/>
      <c r="C167" s="180"/>
      <c r="D167" s="46" t="s">
        <v>226</v>
      </c>
      <c r="F167" s="25">
        <f xml:space="preserve"> F165 * F166</f>
        <v>70</v>
      </c>
      <c r="G167" s="25" t="s">
        <v>228</v>
      </c>
      <c r="H167" s="180"/>
    </row>
    <row r="168" spans="2:9" s="4" customFormat="1" x14ac:dyDescent="0.3">
      <c r="B168" s="15"/>
      <c r="C168" s="172"/>
      <c r="D168" s="46"/>
      <c r="E168" s="10"/>
      <c r="F168" s="25"/>
      <c r="G168" s="46"/>
      <c r="H168" s="337"/>
      <c r="I168" s="337"/>
    </row>
    <row r="169" spans="2:9" x14ac:dyDescent="0.3">
      <c r="D169" s="59" t="s">
        <v>229</v>
      </c>
      <c r="E169" s="10"/>
      <c r="F169" s="11">
        <v>0.02</v>
      </c>
      <c r="G169" s="55" t="s">
        <v>65</v>
      </c>
      <c r="H169" s="3"/>
      <c r="I169" s="3"/>
    </row>
    <row r="170" spans="2:9" x14ac:dyDescent="0.3">
      <c r="D170" s="3"/>
      <c r="F170" s="3"/>
      <c r="H170" s="3"/>
      <c r="I170" s="3"/>
    </row>
    <row r="171" spans="2:9" x14ac:dyDescent="0.3">
      <c r="B171" s="15" t="s">
        <v>230</v>
      </c>
      <c r="F171" s="9"/>
      <c r="H171" s="9"/>
    </row>
    <row r="172" spans="2:9" s="134" customFormat="1" x14ac:dyDescent="0.3">
      <c r="B172" s="135"/>
      <c r="C172" s="136"/>
      <c r="D172" s="134" t="str">
        <f xml:space="preserve"> D$6</f>
        <v>Inflation (1 AUD in 2020 vs 1 AUD in 2021)</v>
      </c>
      <c r="E172" s="19"/>
      <c r="F172" s="134">
        <f xml:space="preserve"> F$6</f>
        <v>1.0317499999999999</v>
      </c>
      <c r="G172" s="134" t="str">
        <f xml:space="preserve"> G$6</f>
        <v>index</v>
      </c>
      <c r="H172" s="136"/>
    </row>
    <row r="173" spans="2:9" s="25" customFormat="1" x14ac:dyDescent="0.3">
      <c r="B173" s="52"/>
      <c r="C173" s="180"/>
      <c r="D173" s="25" t="str">
        <f xml:space="preserve"> D$5</f>
        <v>Exchange rate USD to AUD</v>
      </c>
      <c r="F173" s="25">
        <f t="shared" ref="F173:G173" si="9" xml:space="preserve"> F$5</f>
        <v>0.7</v>
      </c>
      <c r="G173" s="25" t="str">
        <f t="shared" si="9"/>
        <v>AUD/USD</v>
      </c>
      <c r="H173" s="180"/>
    </row>
    <row r="174" spans="2:9" s="22" customFormat="1" ht="28.8" x14ac:dyDescent="0.3">
      <c r="B174" s="23"/>
      <c r="C174" s="178"/>
      <c r="E174" s="38">
        <f xml:space="preserve"> 'References &amp; Notes'!B$12</f>
        <v>9</v>
      </c>
      <c r="F174" s="74" t="s">
        <v>231</v>
      </c>
      <c r="G174" s="74" t="s">
        <v>232</v>
      </c>
      <c r="H174" s="74" t="s">
        <v>232</v>
      </c>
      <c r="I174" s="74" t="s">
        <v>232</v>
      </c>
    </row>
    <row r="175" spans="2:9" s="15" customFormat="1" x14ac:dyDescent="0.3">
      <c r="C175" s="172"/>
      <c r="D175" s="146"/>
      <c r="E175" s="10"/>
      <c r="F175" s="171" t="s">
        <v>188</v>
      </c>
      <c r="G175" s="171" t="s">
        <v>189</v>
      </c>
      <c r="H175" s="171" t="s">
        <v>122</v>
      </c>
      <c r="I175" s="171" t="s">
        <v>122</v>
      </c>
    </row>
    <row r="176" spans="2:9" s="15" customFormat="1" x14ac:dyDescent="0.3">
      <c r="C176" s="172"/>
      <c r="D176" s="17" t="s">
        <v>233</v>
      </c>
      <c r="E176" s="19"/>
      <c r="F176" s="78" t="s">
        <v>234</v>
      </c>
      <c r="G176" s="78" t="s">
        <v>235</v>
      </c>
      <c r="H176" s="78" t="s">
        <v>235</v>
      </c>
      <c r="I176" s="78" t="s">
        <v>236</v>
      </c>
    </row>
    <row r="177" spans="2:10" s="76" customFormat="1" ht="5.0999999999999996" customHeight="1" x14ac:dyDescent="0.3">
      <c r="B177" s="18"/>
      <c r="C177" s="182"/>
      <c r="D177" s="262"/>
      <c r="E177" s="245"/>
      <c r="F177" s="263"/>
      <c r="G177" s="263"/>
      <c r="H177" s="263"/>
      <c r="I177" s="263"/>
    </row>
    <row r="178" spans="2:10" s="8" customFormat="1" x14ac:dyDescent="0.3">
      <c r="B178" s="21"/>
      <c r="C178" s="42"/>
      <c r="D178" s="266" t="s">
        <v>69</v>
      </c>
      <c r="F178" s="148">
        <v>8695800</v>
      </c>
      <c r="G178" s="148">
        <v>5940529000</v>
      </c>
      <c r="H178" s="8">
        <f xml:space="preserve"> G178 * $F$172</f>
        <v>6129140795.75</v>
      </c>
      <c r="I178" s="8">
        <f xml:space="preserve"> H178 * $F$173</f>
        <v>4290398557.0249996</v>
      </c>
    </row>
    <row r="179" spans="2:10" x14ac:dyDescent="0.3">
      <c r="B179" s="15"/>
      <c r="D179" s="147" t="s">
        <v>70</v>
      </c>
      <c r="F179" s="148">
        <v>658261000</v>
      </c>
      <c r="G179" s="148">
        <v>1670292000</v>
      </c>
      <c r="H179">
        <f t="shared" ref="H179:H182" si="10" xml:space="preserve"> G179 * $F$172</f>
        <v>1723323771</v>
      </c>
      <c r="I179" s="8">
        <f t="shared" ref="I179:I182" si="11" xml:space="preserve"> H179 * $F$173</f>
        <v>1206326639.6999998</v>
      </c>
    </row>
    <row r="180" spans="2:10" x14ac:dyDescent="0.3">
      <c r="B180" s="15"/>
      <c r="D180" s="147" t="s">
        <v>237</v>
      </c>
      <c r="F180" s="148">
        <v>1818893</v>
      </c>
      <c r="G180" s="148">
        <v>33005000</v>
      </c>
      <c r="H180">
        <f t="shared" si="10"/>
        <v>34052908.75</v>
      </c>
      <c r="I180" s="8">
        <f t="shared" si="11"/>
        <v>23837036.125</v>
      </c>
    </row>
    <row r="181" spans="2:10" x14ac:dyDescent="0.3">
      <c r="B181" s="15"/>
      <c r="D181" s="147" t="s">
        <v>238</v>
      </c>
      <c r="F181" s="148">
        <v>5167300</v>
      </c>
      <c r="G181" s="148">
        <v>846310000</v>
      </c>
      <c r="H181">
        <f t="shared" si="10"/>
        <v>873180342.5</v>
      </c>
      <c r="I181" s="8">
        <f t="shared" si="11"/>
        <v>611226239.75</v>
      </c>
    </row>
    <row r="182" spans="2:10" x14ac:dyDescent="0.3">
      <c r="B182" s="15"/>
      <c r="D182" s="147" t="s">
        <v>239</v>
      </c>
      <c r="F182" s="148">
        <v>28537100</v>
      </c>
      <c r="G182" s="148">
        <v>1883347000</v>
      </c>
      <c r="H182">
        <f t="shared" si="10"/>
        <v>1943143267.25</v>
      </c>
      <c r="I182" s="8">
        <f t="shared" si="11"/>
        <v>1360200287.0749998</v>
      </c>
    </row>
    <row r="183" spans="2:10" s="76" customFormat="1" ht="5.0999999999999996" customHeight="1" x14ac:dyDescent="0.3">
      <c r="B183" s="18"/>
      <c r="C183" s="182"/>
      <c r="D183" s="262"/>
      <c r="E183" s="245"/>
      <c r="F183" s="263"/>
      <c r="G183" s="263"/>
      <c r="H183" s="263"/>
      <c r="I183" s="263"/>
    </row>
    <row r="184" spans="2:10" x14ac:dyDescent="0.3">
      <c r="B184" s="15"/>
      <c r="D184" s="147"/>
      <c r="F184" s="3"/>
      <c r="G184" s="3"/>
      <c r="H184" s="3"/>
      <c r="I184" s="3"/>
      <c r="J184" s="3"/>
    </row>
    <row r="185" spans="2:10" s="29" customFormat="1" x14ac:dyDescent="0.3">
      <c r="B185" s="28"/>
      <c r="C185" s="179"/>
      <c r="D185" s="28" t="s">
        <v>240</v>
      </c>
      <c r="E185" s="19"/>
      <c r="G185" s="28"/>
      <c r="H185" s="28"/>
    </row>
    <row r="186" spans="2:10" s="31" customFormat="1" ht="43.2" x14ac:dyDescent="0.3">
      <c r="C186" s="183"/>
      <c r="D186" s="28"/>
      <c r="E186" s="19"/>
      <c r="F186" s="82" t="s">
        <v>241</v>
      </c>
      <c r="G186" s="82" t="s">
        <v>242</v>
      </c>
      <c r="H186" s="339" t="s">
        <v>243</v>
      </c>
    </row>
    <row r="187" spans="2:10" s="31" customFormat="1" x14ac:dyDescent="0.3">
      <c r="C187" s="183"/>
      <c r="D187" s="28" t="s">
        <v>121</v>
      </c>
      <c r="E187" s="19"/>
      <c r="F187" s="170" t="s">
        <v>244</v>
      </c>
      <c r="G187" s="170" t="s">
        <v>244</v>
      </c>
      <c r="H187" s="170" t="s">
        <v>244</v>
      </c>
    </row>
    <row r="188" spans="2:10" s="150" customFormat="1" x14ac:dyDescent="0.3">
      <c r="B188" s="149"/>
      <c r="C188" s="184"/>
      <c r="D188" s="150" t="s">
        <v>129</v>
      </c>
      <c r="E188" s="9"/>
      <c r="F188" s="151">
        <v>0.30399999999999999</v>
      </c>
      <c r="G188" s="151">
        <v>0.20200000000000001</v>
      </c>
      <c r="H188" s="151">
        <v>0.104</v>
      </c>
    </row>
    <row r="189" spans="2:10" s="150" customFormat="1" x14ac:dyDescent="0.3">
      <c r="B189" s="149"/>
      <c r="C189" s="184"/>
      <c r="D189" s="150" t="s">
        <v>130</v>
      </c>
      <c r="E189" s="9"/>
      <c r="F189" s="151">
        <v>0.90900000000000003</v>
      </c>
      <c r="G189" s="151">
        <v>0.60499999999999998</v>
      </c>
      <c r="H189" s="151">
        <v>0.30399999999999999</v>
      </c>
    </row>
    <row r="190" spans="2:10" s="150" customFormat="1" x14ac:dyDescent="0.3">
      <c r="B190" s="149"/>
      <c r="C190" s="184"/>
      <c r="D190" s="150" t="s">
        <v>131</v>
      </c>
      <c r="E190" s="9"/>
      <c r="F190" s="151">
        <v>0.90900000000000003</v>
      </c>
      <c r="G190" s="151">
        <v>0.60499999999999998</v>
      </c>
      <c r="H190" s="151">
        <v>0.30399999999999999</v>
      </c>
    </row>
    <row r="191" spans="2:10" s="150" customFormat="1" x14ac:dyDescent="0.3">
      <c r="B191" s="149"/>
      <c r="C191" s="184"/>
      <c r="D191" s="150" t="s">
        <v>132</v>
      </c>
      <c r="E191" s="9"/>
      <c r="F191" s="151">
        <v>0.90900000000000003</v>
      </c>
      <c r="G191" s="151">
        <v>0.60499999999999998</v>
      </c>
      <c r="H191" s="151">
        <v>0.30399999999999999</v>
      </c>
    </row>
    <row r="192" spans="2:10" x14ac:dyDescent="0.3">
      <c r="F192"/>
    </row>
    <row r="193" spans="2:8" s="134" customFormat="1" x14ac:dyDescent="0.3">
      <c r="B193" s="135"/>
      <c r="C193" s="136"/>
      <c r="D193" s="134" t="str">
        <f xml:space="preserve"> D$7</f>
        <v>Inflation (1 AUD in 2007 vs 1 AUD in 2021)</v>
      </c>
      <c r="E193" s="19"/>
      <c r="F193" s="134">
        <f xml:space="preserve"> F$7</f>
        <v>1.3672500000000001</v>
      </c>
      <c r="G193" s="134" t="str">
        <f xml:space="preserve"> G$7</f>
        <v>index</v>
      </c>
      <c r="H193" s="136"/>
    </row>
    <row r="194" spans="2:8" s="134" customFormat="1" x14ac:dyDescent="0.3">
      <c r="B194" s="135"/>
      <c r="C194" s="136"/>
      <c r="D194" s="28" t="s">
        <v>122</v>
      </c>
      <c r="E194" s="19"/>
      <c r="F194" s="170" t="s">
        <v>244</v>
      </c>
      <c r="G194" s="170" t="s">
        <v>244</v>
      </c>
      <c r="H194" s="170" t="s">
        <v>244</v>
      </c>
    </row>
    <row r="195" spans="2:8" x14ac:dyDescent="0.3">
      <c r="D195" s="4" t="s">
        <v>129</v>
      </c>
      <c r="E195" s="10"/>
      <c r="F195" s="152">
        <f t="shared" ref="F195:H198" si="12">(1-F188)*$F$193</f>
        <v>0.95160599999999995</v>
      </c>
      <c r="G195" s="153">
        <f t="shared" si="12"/>
        <v>1.0910655</v>
      </c>
      <c r="H195" s="152">
        <f t="shared" si="12"/>
        <v>1.2250560000000001</v>
      </c>
    </row>
    <row r="196" spans="2:8" x14ac:dyDescent="0.3">
      <c r="D196" t="s">
        <v>130</v>
      </c>
      <c r="F196" s="152">
        <f t="shared" si="12"/>
        <v>0.12441974999999997</v>
      </c>
      <c r="G196" s="152">
        <f t="shared" si="12"/>
        <v>0.54006375000000006</v>
      </c>
      <c r="H196" s="152">
        <f t="shared" si="12"/>
        <v>0.95160599999999995</v>
      </c>
    </row>
    <row r="197" spans="2:8" x14ac:dyDescent="0.3">
      <c r="D197" t="s">
        <v>131</v>
      </c>
      <c r="F197" s="152">
        <f t="shared" si="12"/>
        <v>0.12441974999999997</v>
      </c>
      <c r="G197" s="152">
        <f t="shared" si="12"/>
        <v>0.54006375000000006</v>
      </c>
      <c r="H197" s="152">
        <f t="shared" si="12"/>
        <v>0.95160599999999995</v>
      </c>
    </row>
    <row r="198" spans="2:8" x14ac:dyDescent="0.3">
      <c r="D198" t="s">
        <v>132</v>
      </c>
      <c r="F198" s="152">
        <f t="shared" si="12"/>
        <v>0.12441974999999997</v>
      </c>
      <c r="G198" s="152">
        <f t="shared" si="12"/>
        <v>0.54006375000000006</v>
      </c>
      <c r="H198" s="152">
        <f t="shared" si="12"/>
        <v>0.95160599999999995</v>
      </c>
    </row>
    <row r="200" spans="2:8" x14ac:dyDescent="0.3">
      <c r="D200" s="47" t="s">
        <v>69</v>
      </c>
      <c r="F200" s="14">
        <v>50</v>
      </c>
      <c r="G200" s="25" t="s">
        <v>245</v>
      </c>
    </row>
    <row r="202" spans="2:8" s="45" customFormat="1" x14ac:dyDescent="0.3">
      <c r="B202" s="48" t="s">
        <v>246</v>
      </c>
      <c r="C202" s="186"/>
      <c r="E202" s="10"/>
      <c r="F202" s="46"/>
      <c r="H202" s="46"/>
    </row>
    <row r="203" spans="2:8" s="45" customFormat="1" x14ac:dyDescent="0.3">
      <c r="B203" s="48"/>
      <c r="C203" s="186"/>
      <c r="E203" s="10"/>
      <c r="F203" s="46"/>
      <c r="H203" s="46"/>
    </row>
    <row r="204" spans="2:8" s="45" customFormat="1" x14ac:dyDescent="0.3">
      <c r="B204" s="48"/>
      <c r="C204" s="186"/>
      <c r="D204" s="46" t="s">
        <v>247</v>
      </c>
      <c r="E204" s="10"/>
      <c r="F204" s="14">
        <v>100</v>
      </c>
      <c r="G204" s="47" t="s">
        <v>248</v>
      </c>
      <c r="H204" s="46"/>
    </row>
    <row r="205" spans="2:8" s="45" customFormat="1" x14ac:dyDescent="0.3">
      <c r="B205" s="48"/>
      <c r="C205" s="186"/>
      <c r="E205" s="10"/>
      <c r="F205" s="46"/>
      <c r="H205" s="46"/>
    </row>
    <row r="206" spans="2:8" s="45" customFormat="1" x14ac:dyDescent="0.3">
      <c r="B206" s="48"/>
      <c r="C206" s="186"/>
      <c r="E206" s="10"/>
      <c r="F206" s="46"/>
      <c r="H206" s="46"/>
    </row>
    <row r="207" spans="2:8" s="45" customFormat="1" x14ac:dyDescent="0.3">
      <c r="B207" s="48" t="s">
        <v>249</v>
      </c>
      <c r="C207" s="186"/>
      <c r="E207" s="10"/>
      <c r="F207" s="46"/>
      <c r="H207" s="46"/>
    </row>
    <row r="208" spans="2:8" s="45" customFormat="1" x14ac:dyDescent="0.3">
      <c r="B208" s="48"/>
      <c r="C208" s="186"/>
      <c r="D208" s="7" t="s">
        <v>250</v>
      </c>
      <c r="E208" s="10"/>
      <c r="F208" s="13">
        <v>0.2</v>
      </c>
      <c r="G208" s="6" t="s">
        <v>65</v>
      </c>
      <c r="H208" s="46"/>
    </row>
    <row r="209" spans="1:8" s="45" customFormat="1" x14ac:dyDescent="0.3">
      <c r="B209" s="48"/>
      <c r="C209" s="186"/>
      <c r="D209" s="7" t="s">
        <v>251</v>
      </c>
      <c r="E209" s="10"/>
      <c r="F209" s="13">
        <v>0.1</v>
      </c>
      <c r="G209" s="6" t="s">
        <v>65</v>
      </c>
      <c r="H209" s="46"/>
    </row>
    <row r="210" spans="1:8" s="45" customFormat="1" x14ac:dyDescent="0.3">
      <c r="B210" s="48"/>
      <c r="C210" s="186"/>
      <c r="E210" s="10"/>
      <c r="F210" s="46"/>
      <c r="H210" s="46"/>
    </row>
    <row r="211" spans="1:8" s="45" customFormat="1" x14ac:dyDescent="0.3">
      <c r="B211" s="48"/>
      <c r="C211" s="186"/>
      <c r="D211" s="47" t="s">
        <v>252</v>
      </c>
      <c r="E211" s="9"/>
      <c r="F211" s="14">
        <v>200</v>
      </c>
      <c r="G211" s="47" t="s">
        <v>253</v>
      </c>
      <c r="H211" s="46"/>
    </row>
    <row r="212" spans="1:8" s="45" customFormat="1" x14ac:dyDescent="0.3">
      <c r="B212" s="48"/>
      <c r="C212" s="186"/>
      <c r="E212" s="10"/>
      <c r="F212" s="46"/>
      <c r="H212" s="46"/>
    </row>
    <row r="213" spans="1:8" s="15" customFormat="1" collapsed="1" x14ac:dyDescent="0.3">
      <c r="B213" s="1" t="s">
        <v>254</v>
      </c>
      <c r="C213" s="172"/>
      <c r="E213" s="10"/>
      <c r="F213" s="10"/>
      <c r="H213" s="154"/>
    </row>
    <row r="214" spans="1:8" s="10" customFormat="1" x14ac:dyDescent="0.3">
      <c r="B214" s="9"/>
      <c r="C214" s="172"/>
      <c r="D214" s="10" t="s">
        <v>255</v>
      </c>
      <c r="E214" s="38">
        <f xml:space="preserve"> 'References &amp; Notes'!B$13</f>
        <v>10</v>
      </c>
      <c r="F214" s="12">
        <v>431</v>
      </c>
      <c r="G214" s="10" t="s">
        <v>256</v>
      </c>
    </row>
    <row r="215" spans="1:8" s="10" customFormat="1" x14ac:dyDescent="0.3">
      <c r="B215" s="9"/>
      <c r="C215" s="172"/>
    </row>
    <row r="216" spans="1:8" x14ac:dyDescent="0.3">
      <c r="A216" s="1" t="s">
        <v>26</v>
      </c>
      <c r="F216" s="155"/>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9B038-2F1A-4F02-88B9-CA8D879318DE}">
  <sheetPr>
    <tabColor rgb="FFFFC000"/>
    <outlinePr summaryBelow="0" summaryRight="0"/>
  </sheetPr>
  <dimension ref="A1:I239"/>
  <sheetViews>
    <sheetView zoomScale="80" zoomScaleNormal="80" workbookViewId="0">
      <pane ySplit="2" topLeftCell="A206" activePane="bottomLeft" state="frozen"/>
      <selection activeCell="F40" sqref="F40"/>
      <selection pane="bottomLeft" activeCell="D1" sqref="D1"/>
    </sheetView>
  </sheetViews>
  <sheetFormatPr defaultColWidth="8.88671875" defaultRowHeight="14.4" x14ac:dyDescent="0.3"/>
  <cols>
    <col min="1" max="1" width="1.5546875" style="47" customWidth="1"/>
    <col min="2" max="2" width="1.5546875" style="48" customWidth="1"/>
    <col min="3" max="3" width="1.5546875" style="175" customWidth="1"/>
    <col min="4" max="4" width="60.88671875" style="47" customWidth="1"/>
    <col min="5" max="5" width="4.5546875" style="16" customWidth="1"/>
    <col min="6" max="6" width="24.109375" style="47" customWidth="1"/>
    <col min="7" max="7" width="32.88671875" style="47" customWidth="1"/>
    <col min="8" max="8" width="21.33203125" style="47" bestFit="1" customWidth="1"/>
    <col min="9" max="16384" width="8.88671875" style="47"/>
  </cols>
  <sheetData>
    <row r="1" spans="1:9" customFormat="1" ht="24.6" x14ac:dyDescent="0.3">
      <c r="A1" s="32" t="str">
        <f ca="1" xml:space="preserve"> RIGHT(CELL("filename", A1), LEN(CELL("filename", A1)) - SEARCH("]", CELL("filename", A1)))</f>
        <v>Non-road benefits calcs</v>
      </c>
      <c r="B1" s="48"/>
      <c r="C1" s="172"/>
      <c r="E1" s="16"/>
      <c r="F1" s="286" t="str">
        <f xml:space="preserve"> "Active case: " &amp; 'Key inputs &amp; outputs'!$F$8</f>
        <v>Active case: Base case</v>
      </c>
      <c r="G1" s="4"/>
    </row>
    <row r="2" spans="1:9" s="52" customFormat="1" x14ac:dyDescent="0.3">
      <c r="C2" s="180"/>
      <c r="D2" s="52" t="s">
        <v>27</v>
      </c>
      <c r="E2" s="28" t="s">
        <v>28</v>
      </c>
      <c r="F2" s="62" t="s">
        <v>29</v>
      </c>
      <c r="G2" s="52" t="s">
        <v>30</v>
      </c>
    </row>
    <row r="5" spans="1:9" customFormat="1" x14ac:dyDescent="0.3">
      <c r="B5" s="1" t="s">
        <v>106</v>
      </c>
      <c r="C5" s="173"/>
      <c r="E5" s="9"/>
      <c r="F5" s="126"/>
      <c r="H5" s="28"/>
    </row>
    <row r="6" spans="1:9" x14ac:dyDescent="0.3">
      <c r="D6" s="46" t="s">
        <v>389</v>
      </c>
      <c r="E6" s="10"/>
      <c r="F6" s="281">
        <v>15612</v>
      </c>
      <c r="G6" s="47" t="s">
        <v>390</v>
      </c>
      <c r="H6" s="28"/>
      <c r="I6" s="46"/>
    </row>
    <row r="7" spans="1:9" x14ac:dyDescent="0.3">
      <c r="D7" s="46" t="s">
        <v>391</v>
      </c>
      <c r="E7" s="10"/>
      <c r="F7" s="281">
        <v>10318.43</v>
      </c>
      <c r="G7" s="47" t="s">
        <v>392</v>
      </c>
      <c r="H7" s="28"/>
      <c r="I7" s="46"/>
    </row>
    <row r="8" spans="1:9" s="131" customFormat="1" x14ac:dyDescent="0.3">
      <c r="B8" s="130"/>
      <c r="C8" s="177"/>
      <c r="D8" s="132" t="s">
        <v>393</v>
      </c>
      <c r="E8" s="10"/>
      <c r="F8" s="133">
        <v>1.1000000000000001</v>
      </c>
      <c r="G8" s="131" t="s">
        <v>110</v>
      </c>
      <c r="H8" s="28"/>
      <c r="I8" s="46"/>
    </row>
    <row r="9" spans="1:9" s="131" customFormat="1" x14ac:dyDescent="0.3">
      <c r="B9" s="130"/>
      <c r="C9" s="177"/>
      <c r="D9" s="132" t="s">
        <v>394</v>
      </c>
      <c r="E9" s="10"/>
      <c r="F9" s="133">
        <v>2.04</v>
      </c>
      <c r="G9" s="131" t="s">
        <v>110</v>
      </c>
      <c r="H9" s="28"/>
      <c r="I9" s="46"/>
    </row>
    <row r="11" spans="1:9" s="45" customFormat="1" x14ac:dyDescent="0.3">
      <c r="B11" s="45" t="s">
        <v>113</v>
      </c>
      <c r="C11" s="186"/>
      <c r="E11" s="303"/>
      <c r="F11" s="46"/>
    </row>
    <row r="12" spans="1:9" s="69" customFormat="1" x14ac:dyDescent="0.3">
      <c r="B12" s="67"/>
      <c r="C12" s="187"/>
      <c r="D12" s="68" t="str">
        <f>'Key inputs &amp; outputs'!D$11</f>
        <v>Km of diversion</v>
      </c>
      <c r="E12" s="66"/>
      <c r="F12" s="68">
        <f>'Key inputs &amp; outputs'!F$11</f>
        <v>130</v>
      </c>
      <c r="G12" s="68" t="str">
        <f>'Key inputs &amp; outputs'!G$11</f>
        <v>km</v>
      </c>
    </row>
    <row r="13" spans="1:9" s="16" customFormat="1" x14ac:dyDescent="0.3">
      <c r="B13" s="65"/>
      <c r="C13" s="176"/>
      <c r="D13" s="66" t="str">
        <f xml:space="preserve"> 'Key inputs &amp; outputs'!D$12</f>
        <v>People impacted per day</v>
      </c>
      <c r="E13" s="66"/>
      <c r="F13" s="66">
        <f xml:space="preserve"> 'Key inputs &amp; outputs'!F$12</f>
        <v>10000</v>
      </c>
      <c r="G13" s="66" t="str">
        <f xml:space="preserve"> 'Key inputs &amp; outputs'!G$12</f>
        <v>people</v>
      </c>
    </row>
    <row r="14" spans="1:9" x14ac:dyDescent="0.3">
      <c r="D14" s="51" t="str">
        <f xml:space="preserve"> 'Key inputs &amp; outputs'!D$13</f>
        <v>Vehicle ownership per person</v>
      </c>
      <c r="E14" s="66"/>
      <c r="F14" s="298">
        <f xml:space="preserve"> 'Key inputs &amp; outputs'!F$13</f>
        <v>0.08</v>
      </c>
      <c r="G14" s="51" t="str">
        <f xml:space="preserve"> 'Key inputs &amp; outputs'!G$13</f>
        <v>vehicle/person</v>
      </c>
    </row>
    <row r="15" spans="1:9" x14ac:dyDescent="0.3">
      <c r="D15" s="24" t="str">
        <f xml:space="preserve"> 'Other inputs (IDR)'!D$12</f>
        <v>Trips per day</v>
      </c>
      <c r="E15" s="205"/>
      <c r="F15" s="24">
        <f xml:space="preserve"> 'Other inputs (IDR)'!F$12</f>
        <v>2</v>
      </c>
      <c r="G15" s="24" t="str">
        <f xml:space="preserve"> 'Other inputs (IDR)'!G$12</f>
        <v>veh/day</v>
      </c>
    </row>
    <row r="16" spans="1:9" s="9" customFormat="1" x14ac:dyDescent="0.3">
      <c r="B16" s="1"/>
      <c r="C16" s="173"/>
      <c r="D16" s="9" t="s">
        <v>257</v>
      </c>
      <c r="E16" s="16"/>
      <c r="F16" s="9">
        <f xml:space="preserve"> F12 * (F13 * F14) * F15</f>
        <v>208000</v>
      </c>
      <c r="G16" s="10" t="s">
        <v>46</v>
      </c>
    </row>
    <row r="17" spans="2:7" ht="5.0999999999999996" customHeight="1" x14ac:dyDescent="0.3"/>
    <row r="18" spans="2:7" x14ac:dyDescent="0.3">
      <c r="D18" s="24" t="str">
        <f xml:space="preserve"> 'Other inputs (IDR)'!D$13</f>
        <v>Average fuel consumption per km</v>
      </c>
      <c r="E18" s="205"/>
      <c r="F18" s="24">
        <f xml:space="preserve"> 'Other inputs (IDR)'!F$13</f>
        <v>0.08</v>
      </c>
      <c r="G18" s="24" t="str">
        <f xml:space="preserve"> 'Other inputs (IDR)'!G$13</f>
        <v>litre/100 km</v>
      </c>
    </row>
    <row r="19" spans="2:7" x14ac:dyDescent="0.3">
      <c r="D19" s="47" t="s">
        <v>258</v>
      </c>
      <c r="F19" s="47">
        <f>F16*F18</f>
        <v>16640</v>
      </c>
      <c r="G19" s="47" t="s">
        <v>259</v>
      </c>
    </row>
    <row r="20" spans="2:7" ht="5.0999999999999996" customHeight="1" x14ac:dyDescent="0.3"/>
    <row r="21" spans="2:7" x14ac:dyDescent="0.3">
      <c r="D21" s="24" t="str">
        <f xml:space="preserve"> 'Other inputs (IDR)'!D$14</f>
        <v>Fuel price</v>
      </c>
      <c r="E21" s="205"/>
      <c r="F21" s="24">
        <f xml:space="preserve"> 'Other inputs (IDR)'!F$14</f>
        <v>10161.81</v>
      </c>
      <c r="G21" s="24" t="str">
        <f xml:space="preserve"> 'Other inputs (IDR)'!G$14</f>
        <v>IDR/litre</v>
      </c>
    </row>
    <row r="22" spans="2:7" s="84" customFormat="1" x14ac:dyDescent="0.3">
      <c r="B22" s="83"/>
      <c r="C22" s="195"/>
      <c r="D22" s="255" t="str">
        <f xml:space="preserve"> 'Key inputs &amp; outputs'!D$33</f>
        <v>1 Fuel cost - sensitivity factor</v>
      </c>
      <c r="E22" s="205"/>
      <c r="F22" s="255">
        <f xml:space="preserve"> 'Key inputs &amp; outputs'!F$33</f>
        <v>1</v>
      </c>
      <c r="G22" s="255" t="str">
        <f xml:space="preserve"> 'Key inputs &amp; outputs'!G$33</f>
        <v>factor</v>
      </c>
    </row>
    <row r="23" spans="2:7" s="90" customFormat="1" x14ac:dyDescent="0.3">
      <c r="B23" s="89"/>
      <c r="C23" s="188"/>
      <c r="D23" s="90" t="str">
        <f xml:space="preserve"> B11</f>
        <v>1 Fuel cost</v>
      </c>
      <c r="F23" s="375">
        <f xml:space="preserve"> F19 * F21 * F22</f>
        <v>169092518.40000001</v>
      </c>
      <c r="G23" s="90" t="s">
        <v>404</v>
      </c>
    </row>
    <row r="25" spans="2:7" s="45" customFormat="1" x14ac:dyDescent="0.3">
      <c r="B25" s="45" t="s">
        <v>118</v>
      </c>
      <c r="C25" s="186"/>
      <c r="E25" s="303"/>
      <c r="F25" s="46"/>
    </row>
    <row r="26" spans="2:7" s="69" customFormat="1" x14ac:dyDescent="0.3">
      <c r="B26" s="67"/>
      <c r="C26" s="187"/>
      <c r="D26" s="68" t="str">
        <f>'Key inputs &amp; outputs'!D$14</f>
        <v>Number of vehicles impacted</v>
      </c>
      <c r="E26" s="66"/>
      <c r="F26" s="68">
        <f>'Key inputs &amp; outputs'!F$14</f>
        <v>800</v>
      </c>
      <c r="G26" s="68" t="str">
        <f>'Key inputs &amp; outputs'!G$14</f>
        <v>vehicles</v>
      </c>
    </row>
    <row r="27" spans="2:7" x14ac:dyDescent="0.3">
      <c r="D27" s="47" t="s">
        <v>260</v>
      </c>
      <c r="E27" s="324"/>
      <c r="F27" s="51">
        <f>'Other inputs (IDR)'!G22</f>
        <v>94723.187399999995</v>
      </c>
      <c r="G27" s="47" t="s">
        <v>124</v>
      </c>
    </row>
    <row r="28" spans="2:7" s="69" customFormat="1" x14ac:dyDescent="0.3">
      <c r="B28" s="67"/>
      <c r="C28" s="187"/>
      <c r="D28" s="68" t="str">
        <f>'Key inputs &amp; outputs'!D$11</f>
        <v>Km of diversion</v>
      </c>
      <c r="E28" s="66"/>
      <c r="F28" s="68">
        <f>'Key inputs &amp; outputs'!F$11</f>
        <v>130</v>
      </c>
      <c r="G28" s="68" t="str">
        <f>'Key inputs &amp; outputs'!G$11</f>
        <v>km</v>
      </c>
    </row>
    <row r="29" spans="2:7" s="84" customFormat="1" x14ac:dyDescent="0.3">
      <c r="B29" s="83"/>
      <c r="C29" s="195"/>
      <c r="D29" s="255" t="str">
        <f xml:space="preserve"> 'Key inputs &amp; outputs'!D$34</f>
        <v>2 O&amp;M cost of vehicles - sensitivity factor</v>
      </c>
      <c r="E29" s="205"/>
      <c r="F29" s="255">
        <f xml:space="preserve"> 'Key inputs &amp; outputs'!F$34</f>
        <v>1</v>
      </c>
      <c r="G29" s="255" t="str">
        <f xml:space="preserve"> 'Key inputs &amp; outputs'!G$34</f>
        <v>factor</v>
      </c>
    </row>
    <row r="30" spans="2:7" s="90" customFormat="1" x14ac:dyDescent="0.3">
      <c r="B30" s="89"/>
      <c r="C30" s="188"/>
      <c r="D30" s="90" t="str">
        <f xml:space="preserve"> B25</f>
        <v>2 O&amp;M cost of vehicles</v>
      </c>
      <c r="F30" s="375">
        <f>F26 * (F27/100) * F28 * F29</f>
        <v>98512114.895999998</v>
      </c>
      <c r="G30" s="90" t="s">
        <v>404</v>
      </c>
    </row>
    <row r="32" spans="2:7" s="45" customFormat="1" x14ac:dyDescent="0.3">
      <c r="B32" s="45" t="s">
        <v>133</v>
      </c>
      <c r="C32" s="186"/>
      <c r="E32" s="303"/>
      <c r="F32" s="46"/>
    </row>
    <row r="33" spans="2:7" x14ac:dyDescent="0.3">
      <c r="D33" s="24" t="str">
        <f xml:space="preserve"> 'Other inputs (IDR)'!D$32</f>
        <v>Material demand - periodic maintenance</v>
      </c>
      <c r="E33" s="301">
        <f xml:space="preserve"> 'References &amp; Notes'!B$14</f>
        <v>11</v>
      </c>
      <c r="F33" s="24">
        <f xml:space="preserve"> 'Other inputs (IDR)'!F$32</f>
        <v>39.1</v>
      </c>
      <c r="G33" s="24" t="str">
        <f xml:space="preserve"> 'Other inputs (IDR)'!G$32</f>
        <v>Tonnes/km/5 year</v>
      </c>
    </row>
    <row r="34" spans="2:7" x14ac:dyDescent="0.3">
      <c r="D34" s="24" t="str">
        <f xml:space="preserve"> 'Other inputs (IDR)'!D$33</f>
        <v>Extra traffic multiplier (cars)</v>
      </c>
      <c r="E34" s="205"/>
      <c r="F34" s="24">
        <f xml:space="preserve"> 'Other inputs (IDR)'!F$33</f>
        <v>2</v>
      </c>
      <c r="G34" s="24" t="str">
        <f xml:space="preserve"> 'Other inputs (IDR)'!G$33</f>
        <v>multiplier</v>
      </c>
    </row>
    <row r="35" spans="2:7" s="46" customFormat="1" x14ac:dyDescent="0.3">
      <c r="B35" s="45"/>
      <c r="C35" s="186"/>
      <c r="D35" s="46" t="s">
        <v>460</v>
      </c>
      <c r="E35" s="26"/>
      <c r="F35" s="25">
        <f>F33 * F34</f>
        <v>78.2</v>
      </c>
      <c r="G35" s="46" t="s">
        <v>134</v>
      </c>
    </row>
    <row r="36" spans="2:7" ht="5.0999999999999996" customHeight="1" x14ac:dyDescent="0.3"/>
    <row r="37" spans="2:7" x14ac:dyDescent="0.3">
      <c r="B37" s="45"/>
      <c r="C37" s="186"/>
      <c r="D37" s="51" t="str">
        <f xml:space="preserve"> 'Other inputs (IDR)'!D$40</f>
        <v>Maintenance cost - virgin material</v>
      </c>
      <c r="E37" s="51"/>
      <c r="F37" s="51">
        <f xml:space="preserve"> 'Other inputs (IDR)'!F$40</f>
        <v>185782.80000000002</v>
      </c>
      <c r="G37" s="51" t="str">
        <f xml:space="preserve"> 'Other inputs (IDR)'!G$40</f>
        <v>IDR/tonnes</v>
      </c>
    </row>
    <row r="38" spans="2:7" x14ac:dyDescent="0.3">
      <c r="B38" s="45"/>
      <c r="C38" s="186"/>
      <c r="D38" s="51" t="str">
        <f xml:space="preserve"> 'Other inputs (IDR)'!D$41</f>
        <v>Maintenance cost - recycled</v>
      </c>
      <c r="E38" s="51"/>
      <c r="F38" s="51">
        <f xml:space="preserve"> 'Other inputs (IDR)'!F$41</f>
        <v>57764.4</v>
      </c>
      <c r="G38" s="51" t="str">
        <f xml:space="preserve"> 'Other inputs (IDR)'!G$41</f>
        <v>IDR/tonnes</v>
      </c>
    </row>
    <row r="39" spans="2:7" ht="5.0999999999999996" customHeight="1" x14ac:dyDescent="0.3"/>
    <row r="40" spans="2:7" s="69" customFormat="1" x14ac:dyDescent="0.3">
      <c r="B40" s="67"/>
      <c r="C40" s="187"/>
      <c r="D40" s="68" t="str">
        <f>'Key inputs &amp; outputs'!D$11</f>
        <v>Km of diversion</v>
      </c>
      <c r="E40" s="66"/>
      <c r="F40" s="68">
        <f>'Key inputs &amp; outputs'!F$11</f>
        <v>130</v>
      </c>
      <c r="G40" s="68" t="str">
        <f>'Key inputs &amp; outputs'!G$11</f>
        <v>km</v>
      </c>
    </row>
    <row r="41" spans="2:7" ht="5.0999999999999996" customHeight="1" x14ac:dyDescent="0.3"/>
    <row r="42" spans="2:7" x14ac:dyDescent="0.3">
      <c r="D42" s="24" t="str">
        <f xml:space="preserve"> 'Other inputs (IDR)'!D$43</f>
        <v>Material demand - annual maintenance</v>
      </c>
      <c r="E42" s="205"/>
      <c r="F42" s="24">
        <f xml:space="preserve"> 'Other inputs (IDR)'!F$43</f>
        <v>1.2</v>
      </c>
      <c r="G42" s="24" t="str">
        <f xml:space="preserve"> 'Other inputs (IDR)'!G$43</f>
        <v>Tonnes/km/year</v>
      </c>
    </row>
    <row r="43" spans="2:7" ht="5.0999999999999996" customHeight="1" x14ac:dyDescent="0.3"/>
    <row r="44" spans="2:7" s="7" customFormat="1" x14ac:dyDescent="0.3">
      <c r="B44" s="290"/>
      <c r="C44" s="291"/>
      <c r="D44" s="289" t="str">
        <f xml:space="preserve"> 'Other inputs (IDR)'!D$44</f>
        <v>% recycled materials used for O&amp;M of roads</v>
      </c>
      <c r="E44" s="205"/>
      <c r="F44" s="289">
        <f xml:space="preserve"> 'Other inputs (IDR)'!F$44</f>
        <v>0.2</v>
      </c>
      <c r="G44" s="289" t="str">
        <f xml:space="preserve"> 'Other inputs (IDR)'!G$44</f>
        <v>%</v>
      </c>
    </row>
    <row r="45" spans="2:7" s="6" customFormat="1" x14ac:dyDescent="0.3">
      <c r="B45" s="56"/>
      <c r="C45" s="189"/>
      <c r="D45" s="7" t="s">
        <v>261</v>
      </c>
      <c r="E45" s="26"/>
      <c r="F45" s="61">
        <f xml:space="preserve"> 1 - F44</f>
        <v>0.8</v>
      </c>
      <c r="G45" s="6" t="s">
        <v>65</v>
      </c>
    </row>
    <row r="46" spans="2:7" ht="5.0999999999999996" customHeight="1" x14ac:dyDescent="0.3"/>
    <row r="47" spans="2:7" s="16" customFormat="1" x14ac:dyDescent="0.3">
      <c r="B47" s="65"/>
      <c r="C47" s="176"/>
      <c r="D47" s="205" t="str">
        <f xml:space="preserve"> 'Other inputs (IDR)'!D$46</f>
        <v>Number of years basis for preceding inputs</v>
      </c>
      <c r="E47" s="205"/>
      <c r="F47" s="205">
        <f xml:space="preserve"> 'Other inputs (IDR)'!F$46</f>
        <v>5</v>
      </c>
      <c r="G47" s="205" t="str">
        <f xml:space="preserve"> 'Other inputs (IDR)'!G$46</f>
        <v>years</v>
      </c>
    </row>
    <row r="48" spans="2:7" s="9" customFormat="1" x14ac:dyDescent="0.3">
      <c r="B48" s="1"/>
      <c r="C48" s="173"/>
      <c r="D48" s="9" t="s">
        <v>262</v>
      </c>
      <c r="E48" s="16"/>
      <c r="F48" s="9">
        <f xml:space="preserve"> F40 * (F42 + (F35 / F47)) * ((F38 * F44) + (F37 * F45))</f>
        <v>350664129.50400001</v>
      </c>
      <c r="G48" s="9" t="s">
        <v>388</v>
      </c>
    </row>
    <row r="49" spans="2:7" s="16" customFormat="1" x14ac:dyDescent="0.3">
      <c r="B49" s="65"/>
      <c r="C49" s="176"/>
      <c r="D49" s="205" t="str">
        <f xml:space="preserve"> 'Other inputs (IDR)'!D$9</f>
        <v>Days per year</v>
      </c>
      <c r="E49" s="205"/>
      <c r="F49" s="205">
        <f xml:space="preserve"> 'Other inputs (IDR)'!F$9</f>
        <v>365</v>
      </c>
      <c r="G49" s="205" t="str">
        <f xml:space="preserve"> 'Other inputs (IDR)'!G$9</f>
        <v>days</v>
      </c>
    </row>
    <row r="50" spans="2:7" s="84" customFormat="1" x14ac:dyDescent="0.3">
      <c r="B50" s="83"/>
      <c r="C50" s="195"/>
      <c r="D50" s="255" t="str">
        <f xml:space="preserve"> 'Key inputs &amp; outputs'!D$35</f>
        <v>3 O&amp;M cost of roads - sensitivity factor</v>
      </c>
      <c r="E50" s="205"/>
      <c r="F50" s="255">
        <f xml:space="preserve"> 'Key inputs &amp; outputs'!F$35</f>
        <v>1</v>
      </c>
      <c r="G50" s="255" t="str">
        <f xml:space="preserve"> 'Key inputs &amp; outputs'!G$35</f>
        <v>factor</v>
      </c>
    </row>
    <row r="51" spans="2:7" s="90" customFormat="1" x14ac:dyDescent="0.3">
      <c r="B51" s="89"/>
      <c r="C51" s="188"/>
      <c r="D51" s="90" t="str">
        <f xml:space="preserve"> B32</f>
        <v>3 O&amp;M cost of roads</v>
      </c>
      <c r="F51" s="376">
        <f xml:space="preserve"> F48 / F49 * F50</f>
        <v>960723.64247671235</v>
      </c>
      <c r="G51" s="90" t="s">
        <v>404</v>
      </c>
    </row>
    <row r="53" spans="2:7" s="45" customFormat="1" x14ac:dyDescent="0.3">
      <c r="B53" s="45" t="s">
        <v>142</v>
      </c>
      <c r="C53" s="186"/>
      <c r="E53" s="303"/>
      <c r="F53" s="46"/>
    </row>
    <row r="54" spans="2:7" s="69" customFormat="1" x14ac:dyDescent="0.3">
      <c r="B54" s="67"/>
      <c r="C54" s="187"/>
      <c r="D54" s="68" t="str">
        <f>'Key inputs &amp; outputs'!D$11</f>
        <v>Km of diversion</v>
      </c>
      <c r="E54" s="66"/>
      <c r="F54" s="68">
        <f>'Key inputs &amp; outputs'!F$11</f>
        <v>130</v>
      </c>
      <c r="G54" s="68" t="str">
        <f>'Key inputs &amp; outputs'!G$11</f>
        <v>km</v>
      </c>
    </row>
    <row r="55" spans="2:7" s="46" customFormat="1" x14ac:dyDescent="0.3">
      <c r="B55" s="45"/>
      <c r="C55" s="186"/>
      <c r="D55" s="24" t="str">
        <f xml:space="preserve"> 'Key inputs &amp; outputs'!D$19</f>
        <v>Vehicle speed</v>
      </c>
      <c r="E55" s="205"/>
      <c r="F55" s="24">
        <f xml:space="preserve"> 'Key inputs &amp; outputs'!F$19</f>
        <v>40</v>
      </c>
      <c r="G55" s="24" t="str">
        <f xml:space="preserve"> 'Key inputs &amp; outputs'!G$19</f>
        <v>km/h</v>
      </c>
    </row>
    <row r="56" spans="2:7" x14ac:dyDescent="0.3">
      <c r="D56" s="47" t="s">
        <v>263</v>
      </c>
      <c r="F56" s="47">
        <f>F54/F55</f>
        <v>3.25</v>
      </c>
      <c r="G56" s="47" t="s">
        <v>264</v>
      </c>
    </row>
    <row r="57" spans="2:7" ht="5.0999999999999996" customHeight="1" x14ac:dyDescent="0.3"/>
    <row r="58" spans="2:7" s="69" customFormat="1" x14ac:dyDescent="0.3">
      <c r="B58" s="67"/>
      <c r="C58" s="187"/>
      <c r="D58" s="68" t="str">
        <f>'Key inputs &amp; outputs'!D$14</f>
        <v>Number of vehicles impacted</v>
      </c>
      <c r="E58" s="66"/>
      <c r="F58" s="68">
        <f>'Key inputs &amp; outputs'!F$14</f>
        <v>800</v>
      </c>
      <c r="G58" s="68" t="str">
        <f>'Key inputs &amp; outputs'!G$14</f>
        <v>vehicles</v>
      </c>
    </row>
    <row r="59" spans="2:7" x14ac:dyDescent="0.3">
      <c r="D59" s="47" t="s">
        <v>265</v>
      </c>
      <c r="E59" s="324"/>
      <c r="F59" s="51">
        <f>'Other inputs (IDR)'!G54</f>
        <v>411098.63331600005</v>
      </c>
      <c r="G59" s="47" t="s">
        <v>396</v>
      </c>
    </row>
    <row r="60" spans="2:7" s="84" customFormat="1" x14ac:dyDescent="0.3">
      <c r="B60" s="83"/>
      <c r="C60" s="195"/>
      <c r="D60" s="255" t="str">
        <f xml:space="preserve"> 'Key inputs &amp; outputs'!D$36</f>
        <v>4 Cost of travel time - sensitivity factor</v>
      </c>
      <c r="E60" s="205"/>
      <c r="F60" s="255">
        <f xml:space="preserve"> 'Key inputs &amp; outputs'!F$36</f>
        <v>1</v>
      </c>
      <c r="G60" s="255" t="str">
        <f xml:space="preserve"> 'Key inputs &amp; outputs'!G$36</f>
        <v>factor</v>
      </c>
    </row>
    <row r="61" spans="2:7" s="90" customFormat="1" x14ac:dyDescent="0.3">
      <c r="B61" s="89"/>
      <c r="C61" s="188"/>
      <c r="D61" s="90" t="str">
        <f>B53</f>
        <v>4 Cost of travel time</v>
      </c>
      <c r="F61" s="375">
        <f>F56 * F58 * F59 * F60</f>
        <v>1068856446.6216002</v>
      </c>
      <c r="G61" s="90" t="s">
        <v>404</v>
      </c>
    </row>
    <row r="63" spans="2:7" x14ac:dyDescent="0.3">
      <c r="B63" s="48" t="s">
        <v>161</v>
      </c>
    </row>
    <row r="64" spans="2:7" s="45" customFormat="1" x14ac:dyDescent="0.3">
      <c r="C64" s="186" t="s">
        <v>266</v>
      </c>
      <c r="E64" s="303"/>
      <c r="F64" s="46"/>
    </row>
    <row r="65" spans="2:7" s="69" customFormat="1" x14ac:dyDescent="0.3">
      <c r="B65" s="67"/>
      <c r="C65" s="187"/>
      <c r="D65" s="68" t="str">
        <f>'Key inputs &amp; outputs'!D$14</f>
        <v>Number of vehicles impacted</v>
      </c>
      <c r="E65" s="66"/>
      <c r="F65" s="68">
        <f>'Key inputs &amp; outputs'!F$14</f>
        <v>800</v>
      </c>
      <c r="G65" s="68" t="str">
        <f>'Key inputs &amp; outputs'!G$14</f>
        <v>vehicles</v>
      </c>
    </row>
    <row r="66" spans="2:7" s="69" customFormat="1" x14ac:dyDescent="0.3">
      <c r="B66" s="67"/>
      <c r="C66" s="187"/>
      <c r="D66" s="68" t="str">
        <f>'Key inputs &amp; outputs'!D$11</f>
        <v>Km of diversion</v>
      </c>
      <c r="E66" s="66"/>
      <c r="F66" s="68">
        <f>'Key inputs &amp; outputs'!F$11</f>
        <v>130</v>
      </c>
      <c r="G66" s="68" t="str">
        <f>'Key inputs &amp; outputs'!G$11</f>
        <v>km</v>
      </c>
    </row>
    <row r="67" spans="2:7" x14ac:dyDescent="0.3">
      <c r="D67" s="47" t="s">
        <v>267</v>
      </c>
      <c r="E67" s="324"/>
      <c r="F67" s="51">
        <f>'Other inputs (IDR)'!F90</f>
        <v>53465.976888000005</v>
      </c>
      <c r="G67" s="47" t="s">
        <v>268</v>
      </c>
    </row>
    <row r="68" spans="2:7" s="50" customFormat="1" x14ac:dyDescent="0.3">
      <c r="B68" s="49"/>
      <c r="C68" s="185"/>
      <c r="D68" s="50" t="s">
        <v>269</v>
      </c>
      <c r="E68" s="60"/>
      <c r="F68" s="57">
        <f xml:space="preserve"> F65 * F66 * (F67/100)</f>
        <v>55604615.963519998</v>
      </c>
      <c r="G68" s="57" t="s">
        <v>404</v>
      </c>
    </row>
    <row r="70" spans="2:7" s="45" customFormat="1" x14ac:dyDescent="0.3">
      <c r="C70" s="186" t="s">
        <v>405</v>
      </c>
      <c r="E70" s="303"/>
      <c r="F70" s="46"/>
    </row>
    <row r="71" spans="2:7" x14ac:dyDescent="0.3">
      <c r="D71" s="47" t="s">
        <v>270</v>
      </c>
      <c r="E71" s="324"/>
      <c r="F71" s="51">
        <f>'Other inputs (IDR)'!F108</f>
        <v>3345412.482996</v>
      </c>
      <c r="G71" s="46" t="s">
        <v>461</v>
      </c>
    </row>
    <row r="72" spans="2:7" s="46" customFormat="1" x14ac:dyDescent="0.3">
      <c r="B72" s="45"/>
      <c r="C72" s="186"/>
      <c r="D72" s="46" t="s">
        <v>270</v>
      </c>
      <c r="E72" s="26"/>
      <c r="F72" s="46">
        <f>F71/1000</f>
        <v>3345.4124829960001</v>
      </c>
      <c r="G72" s="46" t="s">
        <v>406</v>
      </c>
    </row>
    <row r="73" spans="2:7" s="46" customFormat="1" ht="5.0999999999999996" customHeight="1" x14ac:dyDescent="0.3">
      <c r="B73" s="45"/>
      <c r="C73" s="186"/>
      <c r="E73" s="26"/>
    </row>
    <row r="74" spans="2:7" s="16" customFormat="1" x14ac:dyDescent="0.3">
      <c r="B74" s="65"/>
      <c r="C74" s="176"/>
      <c r="D74" s="66" t="str">
        <f>'Key inputs &amp; outputs'!D$16</f>
        <v>Number of freight vehicles</v>
      </c>
      <c r="E74" s="66"/>
      <c r="F74" s="66">
        <f>'Key inputs &amp; outputs'!F$16</f>
        <v>1000</v>
      </c>
      <c r="G74" s="66" t="str">
        <f>'Key inputs &amp; outputs'!G$16</f>
        <v>vehicles</v>
      </c>
    </row>
    <row r="75" spans="2:7" s="69" customFormat="1" x14ac:dyDescent="0.3">
      <c r="B75" s="67"/>
      <c r="C75" s="187"/>
      <c r="D75" s="68" t="str">
        <f>'Key inputs &amp; outputs'!D$11</f>
        <v>Km of diversion</v>
      </c>
      <c r="E75" s="66"/>
      <c r="F75" s="68">
        <f>'Key inputs &amp; outputs'!F$11</f>
        <v>130</v>
      </c>
      <c r="G75" s="68" t="str">
        <f>'Key inputs &amp; outputs'!G$11</f>
        <v>km</v>
      </c>
    </row>
    <row r="76" spans="2:7" s="69" customFormat="1" x14ac:dyDescent="0.3">
      <c r="B76" s="67"/>
      <c r="C76" s="187"/>
      <c r="D76" s="68" t="str">
        <f>'Key inputs &amp; outputs'!D$17</f>
        <v>Tonnes transported by freight vehicles</v>
      </c>
      <c r="E76" s="66"/>
      <c r="F76" s="68">
        <f>'Key inputs &amp; outputs'!F$17</f>
        <v>15</v>
      </c>
      <c r="G76" s="68" t="str">
        <f>'Key inputs &amp; outputs'!G$17</f>
        <v>tonnes</v>
      </c>
    </row>
    <row r="77" spans="2:7" s="50" customFormat="1" x14ac:dyDescent="0.3">
      <c r="B77" s="49"/>
      <c r="C77" s="185"/>
      <c r="D77" s="50" t="s">
        <v>271</v>
      </c>
      <c r="E77" s="60"/>
      <c r="F77" s="57">
        <f>F74*F75*F72*F76</f>
        <v>6523554341.8422003</v>
      </c>
      <c r="G77" s="209" t="s">
        <v>404</v>
      </c>
    </row>
    <row r="79" spans="2:7" x14ac:dyDescent="0.3">
      <c r="C79" s="175" t="s">
        <v>272</v>
      </c>
    </row>
    <row r="80" spans="2:7" s="84" customFormat="1" x14ac:dyDescent="0.3">
      <c r="B80" s="83"/>
      <c r="C80" s="195"/>
      <c r="D80" s="255" t="str">
        <f xml:space="preserve"> 'Key inputs &amp; outputs'!D$37</f>
        <v>5 Air pollution - sensitivity factor</v>
      </c>
      <c r="E80" s="205"/>
      <c r="F80" s="255">
        <f xml:space="preserve"> 'Key inputs &amp; outputs'!F$37</f>
        <v>0.5</v>
      </c>
      <c r="G80" s="255" t="str">
        <f xml:space="preserve"> 'Key inputs &amp; outputs'!G$37</f>
        <v>factor</v>
      </c>
    </row>
    <row r="81" spans="2:7" s="92" customFormat="1" x14ac:dyDescent="0.3">
      <c r="B81" s="91"/>
      <c r="C81" s="190"/>
      <c r="D81" s="92" t="str">
        <f xml:space="preserve"> B63</f>
        <v>5 Air pollution</v>
      </c>
      <c r="E81" s="90"/>
      <c r="F81" s="92">
        <f xml:space="preserve"> (F68 + F77) * F80</f>
        <v>3289579478.9028602</v>
      </c>
      <c r="G81" s="92" t="s">
        <v>404</v>
      </c>
    </row>
    <row r="83" spans="2:7" x14ac:dyDescent="0.3">
      <c r="B83" s="48" t="s">
        <v>162</v>
      </c>
    </row>
    <row r="84" spans="2:7" s="45" customFormat="1" x14ac:dyDescent="0.3">
      <c r="C84" s="186" t="s">
        <v>266</v>
      </c>
      <c r="E84" s="303"/>
      <c r="F84" s="46"/>
    </row>
    <row r="85" spans="2:7" s="69" customFormat="1" x14ac:dyDescent="0.3">
      <c r="B85" s="67"/>
      <c r="C85" s="187"/>
      <c r="D85" s="68" t="str">
        <f>'Key inputs &amp; outputs'!D$14</f>
        <v>Number of vehicles impacted</v>
      </c>
      <c r="E85" s="66"/>
      <c r="F85" s="68">
        <f>'Key inputs &amp; outputs'!F$14</f>
        <v>800</v>
      </c>
      <c r="G85" s="68" t="str">
        <f>'Key inputs &amp; outputs'!G$14</f>
        <v>vehicles</v>
      </c>
    </row>
    <row r="86" spans="2:7" s="69" customFormat="1" x14ac:dyDescent="0.3">
      <c r="B86" s="67"/>
      <c r="C86" s="187"/>
      <c r="D86" s="68" t="str">
        <f>'Key inputs &amp; outputs'!D$11</f>
        <v>Km of diversion</v>
      </c>
      <c r="E86" s="66"/>
      <c r="F86" s="68">
        <f>'Key inputs &amp; outputs'!F$11</f>
        <v>130</v>
      </c>
      <c r="G86" s="68" t="str">
        <f>'Key inputs &amp; outputs'!G$11</f>
        <v>km</v>
      </c>
    </row>
    <row r="87" spans="2:7" x14ac:dyDescent="0.3">
      <c r="D87" s="47" t="s">
        <v>273</v>
      </c>
      <c r="E87" s="324"/>
      <c r="F87" s="51">
        <f>'Other inputs (IDR)'!F92</f>
        <v>17260.669704</v>
      </c>
      <c r="G87" s="47" t="s">
        <v>268</v>
      </c>
    </row>
    <row r="88" spans="2:7" s="50" customFormat="1" x14ac:dyDescent="0.3">
      <c r="B88" s="49"/>
      <c r="C88" s="185"/>
      <c r="D88" s="50" t="s">
        <v>269</v>
      </c>
      <c r="E88" s="60"/>
      <c r="F88" s="57">
        <f>F85*F86*(F87/100)</f>
        <v>17951096.49216</v>
      </c>
      <c r="G88" s="57" t="s">
        <v>404</v>
      </c>
    </row>
    <row r="90" spans="2:7" s="45" customFormat="1" x14ac:dyDescent="0.3">
      <c r="C90" s="186" t="s">
        <v>405</v>
      </c>
      <c r="E90" s="303"/>
      <c r="F90" s="46"/>
    </row>
    <row r="91" spans="2:7" x14ac:dyDescent="0.3">
      <c r="D91" s="47" t="s">
        <v>274</v>
      </c>
      <c r="F91" s="51">
        <f>'Other inputs (IDR)'!F110</f>
        <v>570444.08412000013</v>
      </c>
      <c r="G91" s="46" t="s">
        <v>461</v>
      </c>
    </row>
    <row r="92" spans="2:7" x14ac:dyDescent="0.3">
      <c r="D92" s="47" t="s">
        <v>274</v>
      </c>
      <c r="F92" s="47">
        <f>F91/1000</f>
        <v>570.44408412000018</v>
      </c>
      <c r="G92" s="46" t="s">
        <v>406</v>
      </c>
    </row>
    <row r="93" spans="2:7" ht="5.0999999999999996" customHeight="1" x14ac:dyDescent="0.3">
      <c r="G93" s="46"/>
    </row>
    <row r="94" spans="2:7" s="16" customFormat="1" x14ac:dyDescent="0.3">
      <c r="B94" s="65"/>
      <c r="C94" s="176"/>
      <c r="D94" s="66" t="str">
        <f>'Key inputs &amp; outputs'!D$16</f>
        <v>Number of freight vehicles</v>
      </c>
      <c r="E94" s="66"/>
      <c r="F94" s="66">
        <f>'Key inputs &amp; outputs'!F$16</f>
        <v>1000</v>
      </c>
      <c r="G94" s="66" t="str">
        <f>'Key inputs &amp; outputs'!G$16</f>
        <v>vehicles</v>
      </c>
    </row>
    <row r="95" spans="2:7" s="69" customFormat="1" x14ac:dyDescent="0.3">
      <c r="B95" s="67"/>
      <c r="C95" s="187"/>
      <c r="D95" s="68" t="str">
        <f>'Key inputs &amp; outputs'!D$11</f>
        <v>Km of diversion</v>
      </c>
      <c r="E95" s="66"/>
      <c r="F95" s="68">
        <f>'Key inputs &amp; outputs'!F$11</f>
        <v>130</v>
      </c>
      <c r="G95" s="68" t="str">
        <f>'Key inputs &amp; outputs'!G$11</f>
        <v>km</v>
      </c>
    </row>
    <row r="96" spans="2:7" s="69" customFormat="1" x14ac:dyDescent="0.3">
      <c r="B96" s="67"/>
      <c r="C96" s="187"/>
      <c r="D96" s="68" t="str">
        <f>'Key inputs &amp; outputs'!D$17</f>
        <v>Tonnes transported by freight vehicles</v>
      </c>
      <c r="E96" s="66"/>
      <c r="F96" s="68">
        <f>'Key inputs &amp; outputs'!F$17</f>
        <v>15</v>
      </c>
      <c r="G96" s="68" t="str">
        <f>'Key inputs &amp; outputs'!G$17</f>
        <v>tonnes</v>
      </c>
    </row>
    <row r="97" spans="2:7" s="57" customFormat="1" x14ac:dyDescent="0.3">
      <c r="B97" s="58"/>
      <c r="C97" s="191"/>
      <c r="D97" s="57" t="s">
        <v>271</v>
      </c>
      <c r="E97" s="304"/>
      <c r="F97" s="57">
        <f>F94*F95*F92*F96</f>
        <v>1112365964.0340004</v>
      </c>
      <c r="G97" s="57" t="s">
        <v>404</v>
      </c>
    </row>
    <row r="99" spans="2:7" x14ac:dyDescent="0.3">
      <c r="C99" s="175" t="s">
        <v>272</v>
      </c>
    </row>
    <row r="100" spans="2:7" s="84" customFormat="1" x14ac:dyDescent="0.3">
      <c r="B100" s="83"/>
      <c r="C100" s="195"/>
      <c r="D100" s="255" t="str">
        <f xml:space="preserve"> 'Key inputs &amp; outputs'!D$38</f>
        <v>6 Noise pollution - sensitivity factor</v>
      </c>
      <c r="E100" s="205"/>
      <c r="F100" s="255">
        <f xml:space="preserve"> 'Key inputs &amp; outputs'!F$38</f>
        <v>0.5</v>
      </c>
      <c r="G100" s="255" t="str">
        <f xml:space="preserve"> 'Key inputs &amp; outputs'!G$38</f>
        <v>factor</v>
      </c>
    </row>
    <row r="101" spans="2:7" s="92" customFormat="1" x14ac:dyDescent="0.3">
      <c r="B101" s="91"/>
      <c r="C101" s="190"/>
      <c r="D101" s="92" t="str">
        <f>B83</f>
        <v>6 Noise pollution</v>
      </c>
      <c r="E101" s="90"/>
      <c r="F101" s="92">
        <f xml:space="preserve"> (F88 + F97) * F100</f>
        <v>565158530.26308024</v>
      </c>
      <c r="G101" s="92" t="s">
        <v>404</v>
      </c>
    </row>
    <row r="102" spans="2:7" x14ac:dyDescent="0.3">
      <c r="F102" s="44"/>
    </row>
    <row r="103" spans="2:7" x14ac:dyDescent="0.3">
      <c r="B103" s="48" t="s">
        <v>163</v>
      </c>
    </row>
    <row r="104" spans="2:7" s="45" customFormat="1" x14ac:dyDescent="0.3">
      <c r="C104" s="186" t="s">
        <v>266</v>
      </c>
      <c r="E104" s="303"/>
      <c r="F104" s="46"/>
    </row>
    <row r="105" spans="2:7" s="69" customFormat="1" x14ac:dyDescent="0.3">
      <c r="B105" s="67"/>
      <c r="C105" s="187"/>
      <c r="D105" s="68" t="str">
        <f>'Key inputs &amp; outputs'!D$14</f>
        <v>Number of vehicles impacted</v>
      </c>
      <c r="E105" s="66"/>
      <c r="F105" s="68">
        <f>'Key inputs &amp; outputs'!F$14</f>
        <v>800</v>
      </c>
      <c r="G105" s="68" t="str">
        <f>'Key inputs &amp; outputs'!G$14</f>
        <v>vehicles</v>
      </c>
    </row>
    <row r="106" spans="2:7" s="69" customFormat="1" x14ac:dyDescent="0.3">
      <c r="B106" s="67"/>
      <c r="C106" s="187"/>
      <c r="D106" s="68" t="str">
        <f>'Key inputs &amp; outputs'!D$11</f>
        <v>Km of diversion</v>
      </c>
      <c r="E106" s="66"/>
      <c r="F106" s="68">
        <f>'Key inputs &amp; outputs'!F$11</f>
        <v>130</v>
      </c>
      <c r="G106" s="68" t="str">
        <f>'Key inputs &amp; outputs'!G$11</f>
        <v>km</v>
      </c>
    </row>
    <row r="107" spans="2:7" x14ac:dyDescent="0.3">
      <c r="D107" s="47" t="s">
        <v>275</v>
      </c>
      <c r="F107" s="51">
        <f>'Other inputs (IDR)'!F93</f>
        <v>7998.8469359999999</v>
      </c>
      <c r="G107" s="46" t="s">
        <v>407</v>
      </c>
    </row>
    <row r="108" spans="2:7" s="50" customFormat="1" x14ac:dyDescent="0.3">
      <c r="B108" s="49"/>
      <c r="C108" s="185"/>
      <c r="D108" s="50" t="s">
        <v>269</v>
      </c>
      <c r="E108" s="60"/>
      <c r="F108" s="57">
        <f>F105*F106*(F107/100)</f>
        <v>8318800.8134399997</v>
      </c>
      <c r="G108" s="57" t="s">
        <v>404</v>
      </c>
    </row>
    <row r="110" spans="2:7" s="45" customFormat="1" x14ac:dyDescent="0.3">
      <c r="C110" s="186" t="s">
        <v>405</v>
      </c>
      <c r="E110" s="303"/>
      <c r="F110" s="46"/>
    </row>
    <row r="111" spans="2:7" x14ac:dyDescent="0.3">
      <c r="D111" s="47" t="s">
        <v>276</v>
      </c>
      <c r="F111" s="51">
        <f>'Other inputs (IDR)'!F111</f>
        <v>501822.39724800002</v>
      </c>
      <c r="G111" s="46" t="s">
        <v>461</v>
      </c>
    </row>
    <row r="112" spans="2:7" x14ac:dyDescent="0.3">
      <c r="D112" s="47" t="s">
        <v>276</v>
      </c>
      <c r="F112" s="47">
        <f>F111/1000</f>
        <v>501.82239724800002</v>
      </c>
      <c r="G112" s="46" t="s">
        <v>406</v>
      </c>
    </row>
    <row r="113" spans="2:7" ht="5.0999999999999996" customHeight="1" x14ac:dyDescent="0.3">
      <c r="G113" s="46"/>
    </row>
    <row r="114" spans="2:7" s="16" customFormat="1" x14ac:dyDescent="0.3">
      <c r="B114" s="65"/>
      <c r="C114" s="176"/>
      <c r="D114" s="66" t="str">
        <f>'Key inputs &amp; outputs'!D$16</f>
        <v>Number of freight vehicles</v>
      </c>
      <c r="E114" s="66"/>
      <c r="F114" s="66">
        <f>'Key inputs &amp; outputs'!F$16</f>
        <v>1000</v>
      </c>
      <c r="G114" s="66" t="str">
        <f>'Key inputs &amp; outputs'!G$16</f>
        <v>vehicles</v>
      </c>
    </row>
    <row r="115" spans="2:7" s="69" customFormat="1" x14ac:dyDescent="0.3">
      <c r="B115" s="67"/>
      <c r="C115" s="187"/>
      <c r="D115" s="68" t="str">
        <f>'Key inputs &amp; outputs'!D$11</f>
        <v>Km of diversion</v>
      </c>
      <c r="E115" s="66"/>
      <c r="F115" s="68">
        <f>'Key inputs &amp; outputs'!F$11</f>
        <v>130</v>
      </c>
      <c r="G115" s="68" t="str">
        <f>'Key inputs &amp; outputs'!G$11</f>
        <v>km</v>
      </c>
    </row>
    <row r="116" spans="2:7" s="69" customFormat="1" x14ac:dyDescent="0.3">
      <c r="B116" s="67"/>
      <c r="C116" s="187"/>
      <c r="D116" s="68" t="str">
        <f>'Key inputs &amp; outputs'!D$17</f>
        <v>Tonnes transported by freight vehicles</v>
      </c>
      <c r="E116" s="66"/>
      <c r="F116" s="68">
        <f>'Key inputs &amp; outputs'!F$17</f>
        <v>15</v>
      </c>
      <c r="G116" s="68" t="str">
        <f>'Key inputs &amp; outputs'!G$17</f>
        <v>tonnes</v>
      </c>
    </row>
    <row r="117" spans="2:7" s="50" customFormat="1" x14ac:dyDescent="0.3">
      <c r="B117" s="49"/>
      <c r="C117" s="185"/>
      <c r="D117" s="50" t="s">
        <v>271</v>
      </c>
      <c r="E117" s="60"/>
      <c r="F117" s="57">
        <f>F114*F115*F112*F116</f>
        <v>978553674.6336</v>
      </c>
      <c r="G117" s="57" t="s">
        <v>404</v>
      </c>
    </row>
    <row r="119" spans="2:7" x14ac:dyDescent="0.3">
      <c r="C119" s="175" t="s">
        <v>272</v>
      </c>
    </row>
    <row r="120" spans="2:7" s="84" customFormat="1" x14ac:dyDescent="0.3">
      <c r="B120" s="83"/>
      <c r="C120" s="195"/>
      <c r="D120" s="255" t="str">
        <f xml:space="preserve"> 'Key inputs &amp; outputs'!D$39</f>
        <v>7 Water pollution - sensitivity factor</v>
      </c>
      <c r="E120" s="205"/>
      <c r="F120" s="255">
        <f xml:space="preserve"> 'Key inputs &amp; outputs'!F$39</f>
        <v>0.5</v>
      </c>
      <c r="G120" s="255" t="str">
        <f xml:space="preserve"> 'Key inputs &amp; outputs'!G$39</f>
        <v>factor</v>
      </c>
    </row>
    <row r="121" spans="2:7" s="92" customFormat="1" x14ac:dyDescent="0.3">
      <c r="B121" s="91"/>
      <c r="C121" s="190"/>
      <c r="D121" s="92" t="str">
        <f>B103</f>
        <v>7 Water pollution</v>
      </c>
      <c r="E121" s="90"/>
      <c r="F121" s="92">
        <f xml:space="preserve"> (F108 + F117) * F120</f>
        <v>493436237.72351998</v>
      </c>
      <c r="G121" s="92" t="s">
        <v>404</v>
      </c>
    </row>
    <row r="122" spans="2:7" x14ac:dyDescent="0.3">
      <c r="F122" s="44"/>
    </row>
    <row r="123" spans="2:7" x14ac:dyDescent="0.3">
      <c r="B123" s="48" t="s">
        <v>164</v>
      </c>
    </row>
    <row r="124" spans="2:7" s="45" customFormat="1" x14ac:dyDescent="0.3">
      <c r="C124" s="186" t="s">
        <v>266</v>
      </c>
      <c r="E124" s="303"/>
      <c r="F124" s="46"/>
    </row>
    <row r="125" spans="2:7" s="69" customFormat="1" x14ac:dyDescent="0.3">
      <c r="B125" s="67"/>
      <c r="C125" s="187"/>
      <c r="D125" s="68" t="str">
        <f>'Key inputs &amp; outputs'!D$14</f>
        <v>Number of vehicles impacted</v>
      </c>
      <c r="E125" s="66"/>
      <c r="F125" s="68">
        <f>'Key inputs &amp; outputs'!F$14</f>
        <v>800</v>
      </c>
      <c r="G125" s="68" t="str">
        <f>'Key inputs &amp; outputs'!G$14</f>
        <v>vehicles</v>
      </c>
    </row>
    <row r="126" spans="2:7" s="69" customFormat="1" x14ac:dyDescent="0.3">
      <c r="B126" s="67"/>
      <c r="C126" s="187"/>
      <c r="D126" s="68" t="str">
        <f>'Key inputs &amp; outputs'!D$11</f>
        <v>Km of diversion</v>
      </c>
      <c r="E126" s="66"/>
      <c r="F126" s="68">
        <f>'Key inputs &amp; outputs'!F$11</f>
        <v>130</v>
      </c>
      <c r="G126" s="68" t="str">
        <f>'Key inputs &amp; outputs'!G$11</f>
        <v>km</v>
      </c>
    </row>
    <row r="127" spans="2:7" x14ac:dyDescent="0.3">
      <c r="D127" s="47" t="s">
        <v>277</v>
      </c>
      <c r="F127" s="51">
        <f>'Other inputs (IDR)'!F91</f>
        <v>42099.1944</v>
      </c>
      <c r="G127" s="47" t="s">
        <v>268</v>
      </c>
    </row>
    <row r="128" spans="2:7" s="247" customFormat="1" x14ac:dyDescent="0.3">
      <c r="B128" s="248"/>
      <c r="C128" s="249"/>
      <c r="D128" s="247" t="s">
        <v>269</v>
      </c>
      <c r="E128" s="304"/>
      <c r="F128" s="247">
        <f>F125*F126*(F127/100)</f>
        <v>43783162.175999999</v>
      </c>
      <c r="G128" s="247" t="s">
        <v>404</v>
      </c>
    </row>
    <row r="130" spans="2:7" s="45" customFormat="1" x14ac:dyDescent="0.3">
      <c r="C130" s="186" t="s">
        <v>465</v>
      </c>
      <c r="E130" s="303"/>
      <c r="F130" s="46"/>
    </row>
    <row r="131" spans="2:7" x14ac:dyDescent="0.3">
      <c r="D131" s="47" t="s">
        <v>278</v>
      </c>
      <c r="F131" s="51">
        <f>'Other inputs (IDR)'!F109</f>
        <v>1041955.0614000001</v>
      </c>
      <c r="G131" s="47" t="s">
        <v>461</v>
      </c>
    </row>
    <row r="132" spans="2:7" x14ac:dyDescent="0.3">
      <c r="D132" s="47" t="s">
        <v>278</v>
      </c>
      <c r="F132" s="47">
        <f>F131/1000</f>
        <v>1041.9550614000002</v>
      </c>
      <c r="G132" s="47" t="s">
        <v>406</v>
      </c>
    </row>
    <row r="133" spans="2:7" ht="5.0999999999999996" customHeight="1" x14ac:dyDescent="0.3"/>
    <row r="134" spans="2:7" s="16" customFormat="1" x14ac:dyDescent="0.3">
      <c r="B134" s="65"/>
      <c r="C134" s="176"/>
      <c r="D134" s="66" t="str">
        <f>'Key inputs &amp; outputs'!D$16</f>
        <v>Number of freight vehicles</v>
      </c>
      <c r="E134" s="66"/>
      <c r="F134" s="66">
        <f>'Key inputs &amp; outputs'!F$16</f>
        <v>1000</v>
      </c>
      <c r="G134" s="66" t="str">
        <f>'Key inputs &amp; outputs'!G$16</f>
        <v>vehicles</v>
      </c>
    </row>
    <row r="135" spans="2:7" s="69" customFormat="1" x14ac:dyDescent="0.3">
      <c r="B135" s="67"/>
      <c r="C135" s="187"/>
      <c r="D135" s="68" t="str">
        <f>'Key inputs &amp; outputs'!D$11</f>
        <v>Km of diversion</v>
      </c>
      <c r="E135" s="66"/>
      <c r="F135" s="68">
        <f>'Key inputs &amp; outputs'!F$11</f>
        <v>130</v>
      </c>
      <c r="G135" s="68" t="str">
        <f>'Key inputs &amp; outputs'!G$11</f>
        <v>km</v>
      </c>
    </row>
    <row r="136" spans="2:7" s="69" customFormat="1" x14ac:dyDescent="0.3">
      <c r="B136" s="67"/>
      <c r="C136" s="187"/>
      <c r="D136" s="68" t="str">
        <f>'Key inputs &amp; outputs'!D$17</f>
        <v>Tonnes transported by freight vehicles</v>
      </c>
      <c r="E136" s="66"/>
      <c r="F136" s="68">
        <f>'Key inputs &amp; outputs'!F$17</f>
        <v>15</v>
      </c>
      <c r="G136" s="68" t="str">
        <f>'Key inputs &amp; outputs'!G$17</f>
        <v>tonnes</v>
      </c>
    </row>
    <row r="137" spans="2:7" s="250" customFormat="1" x14ac:dyDescent="0.3">
      <c r="B137" s="251"/>
      <c r="C137" s="252"/>
      <c r="D137" s="250" t="s">
        <v>271</v>
      </c>
      <c r="E137" s="60"/>
      <c r="F137" s="247">
        <f>F132*F134*F135*F136</f>
        <v>2031812369.7300003</v>
      </c>
      <c r="G137" s="247" t="s">
        <v>404</v>
      </c>
    </row>
    <row r="139" spans="2:7" x14ac:dyDescent="0.3">
      <c r="C139" s="175" t="s">
        <v>272</v>
      </c>
    </row>
    <row r="140" spans="2:7" s="84" customFormat="1" x14ac:dyDescent="0.3">
      <c r="B140" s="83"/>
      <c r="C140" s="195"/>
      <c r="D140" s="255" t="str">
        <f xml:space="preserve"> 'Key inputs &amp; outputs'!D$40</f>
        <v>8 GHG emissions - sensitivity factor</v>
      </c>
      <c r="E140" s="205"/>
      <c r="F140" s="255">
        <f xml:space="preserve"> 'Key inputs &amp; outputs'!F$40</f>
        <v>1</v>
      </c>
      <c r="G140" s="255" t="str">
        <f xml:space="preserve"> 'Key inputs &amp; outputs'!G$40</f>
        <v>factor</v>
      </c>
    </row>
    <row r="141" spans="2:7" s="92" customFormat="1" x14ac:dyDescent="0.3">
      <c r="B141" s="91"/>
      <c r="C141" s="190"/>
      <c r="D141" s="92" t="str">
        <f>B123</f>
        <v>8 GHG emissions</v>
      </c>
      <c r="E141" s="90"/>
      <c r="F141" s="92">
        <f xml:space="preserve"> (F128 + F137) * F140</f>
        <v>2075595531.9060001</v>
      </c>
      <c r="G141" s="92" t="s">
        <v>404</v>
      </c>
    </row>
    <row r="142" spans="2:7" x14ac:dyDescent="0.3">
      <c r="F142" s="44"/>
    </row>
    <row r="143" spans="2:7" x14ac:dyDescent="0.3">
      <c r="B143" s="48" t="s">
        <v>165</v>
      </c>
      <c r="C143" s="185"/>
    </row>
    <row r="144" spans="2:7" s="45" customFormat="1" x14ac:dyDescent="0.3">
      <c r="C144" s="192" t="s">
        <v>266</v>
      </c>
      <c r="E144" s="303"/>
      <c r="F144" s="46"/>
    </row>
    <row r="145" spans="2:7" s="69" customFormat="1" x14ac:dyDescent="0.3">
      <c r="B145" s="67"/>
      <c r="C145" s="187"/>
      <c r="D145" s="68" t="str">
        <f>'Key inputs &amp; outputs'!D$14</f>
        <v>Number of vehicles impacted</v>
      </c>
      <c r="E145" s="66"/>
      <c r="F145" s="68">
        <f>'Key inputs &amp; outputs'!F$14</f>
        <v>800</v>
      </c>
      <c r="G145" s="68" t="str">
        <f>'Key inputs &amp; outputs'!G$14</f>
        <v>vehicles</v>
      </c>
    </row>
    <row r="146" spans="2:7" s="69" customFormat="1" x14ac:dyDescent="0.3">
      <c r="B146" s="67"/>
      <c r="C146" s="187"/>
      <c r="D146" s="68" t="str">
        <f>'Key inputs &amp; outputs'!D$11</f>
        <v>Km of diversion</v>
      </c>
      <c r="E146" s="66"/>
      <c r="F146" s="68">
        <f>'Key inputs &amp; outputs'!F$11</f>
        <v>130</v>
      </c>
      <c r="G146" s="68" t="str">
        <f>'Key inputs &amp; outputs'!G$11</f>
        <v>km</v>
      </c>
    </row>
    <row r="147" spans="2:7" x14ac:dyDescent="0.3">
      <c r="C147" s="185"/>
      <c r="D147" s="47" t="s">
        <v>279</v>
      </c>
      <c r="F147" s="51">
        <f>'Other inputs (IDR)'!F94</f>
        <v>1052.4798600000001</v>
      </c>
      <c r="G147" s="47" t="s">
        <v>268</v>
      </c>
    </row>
    <row r="148" spans="2:7" s="50" customFormat="1" x14ac:dyDescent="0.3">
      <c r="B148" s="49"/>
      <c r="C148" s="185"/>
      <c r="D148" s="50" t="s">
        <v>269</v>
      </c>
      <c r="E148" s="60"/>
      <c r="F148" s="57">
        <f>F145*F146*(F147/100)</f>
        <v>1094579.0544000003</v>
      </c>
      <c r="G148" s="57" t="s">
        <v>404</v>
      </c>
    </row>
    <row r="149" spans="2:7" x14ac:dyDescent="0.3">
      <c r="C149" s="185"/>
    </row>
    <row r="150" spans="2:7" s="45" customFormat="1" x14ac:dyDescent="0.3">
      <c r="C150" s="192" t="s">
        <v>465</v>
      </c>
      <c r="E150" s="303"/>
      <c r="F150" s="46"/>
    </row>
    <row r="151" spans="2:7" x14ac:dyDescent="0.3">
      <c r="C151" s="185"/>
      <c r="D151" s="47" t="s">
        <v>280</v>
      </c>
      <c r="F151" s="51">
        <f>'Other inputs (IDR)'!F112</f>
        <v>372156.87849600002</v>
      </c>
      <c r="G151" s="47" t="s">
        <v>461</v>
      </c>
    </row>
    <row r="152" spans="2:7" x14ac:dyDescent="0.3">
      <c r="C152" s="185"/>
      <c r="D152" s="47" t="s">
        <v>280</v>
      </c>
      <c r="F152" s="47">
        <f>F151/1000</f>
        <v>372.15687849600005</v>
      </c>
      <c r="G152" s="47" t="s">
        <v>406</v>
      </c>
    </row>
    <row r="153" spans="2:7" ht="5.0999999999999996" customHeight="1" x14ac:dyDescent="0.3">
      <c r="C153" s="185"/>
    </row>
    <row r="154" spans="2:7" s="69" customFormat="1" x14ac:dyDescent="0.3">
      <c r="B154" s="67"/>
      <c r="C154" s="187"/>
      <c r="D154" s="68" t="str">
        <f>'Key inputs &amp; outputs'!D$16</f>
        <v>Number of freight vehicles</v>
      </c>
      <c r="E154" s="66"/>
      <c r="F154" s="68">
        <f>'Key inputs &amp; outputs'!F$16</f>
        <v>1000</v>
      </c>
      <c r="G154" s="68" t="str">
        <f>'Key inputs &amp; outputs'!G$16</f>
        <v>vehicles</v>
      </c>
    </row>
    <row r="155" spans="2:7" s="69" customFormat="1" x14ac:dyDescent="0.3">
      <c r="B155" s="67"/>
      <c r="C155" s="187"/>
      <c r="D155" s="68" t="str">
        <f>'Key inputs &amp; outputs'!D$11</f>
        <v>Km of diversion</v>
      </c>
      <c r="E155" s="66"/>
      <c r="F155" s="68">
        <f>'Key inputs &amp; outputs'!F$11</f>
        <v>130</v>
      </c>
      <c r="G155" s="68" t="str">
        <f>'Key inputs &amp; outputs'!G$11</f>
        <v>km</v>
      </c>
    </row>
    <row r="156" spans="2:7" s="69" customFormat="1" x14ac:dyDescent="0.3">
      <c r="B156" s="67"/>
      <c r="C156" s="187"/>
      <c r="D156" s="68" t="str">
        <f>'Key inputs &amp; outputs'!D$17</f>
        <v>Tonnes transported by freight vehicles</v>
      </c>
      <c r="E156" s="66"/>
      <c r="F156" s="68">
        <f>'Key inputs &amp; outputs'!F$17</f>
        <v>15</v>
      </c>
      <c r="G156" s="68" t="str">
        <f>'Key inputs &amp; outputs'!G$17</f>
        <v>tonnes</v>
      </c>
    </row>
    <row r="157" spans="2:7" s="50" customFormat="1" x14ac:dyDescent="0.3">
      <c r="B157" s="49"/>
      <c r="C157" s="185"/>
      <c r="D157" s="50" t="s">
        <v>271</v>
      </c>
      <c r="E157" s="60"/>
      <c r="F157" s="57">
        <f>F154*F155*F152*F156</f>
        <v>725705913.06720006</v>
      </c>
      <c r="G157" s="57" t="s">
        <v>404</v>
      </c>
    </row>
    <row r="158" spans="2:7" x14ac:dyDescent="0.3">
      <c r="C158" s="185"/>
    </row>
    <row r="159" spans="2:7" x14ac:dyDescent="0.3">
      <c r="C159" s="185" t="s">
        <v>272</v>
      </c>
    </row>
    <row r="160" spans="2:7" s="84" customFormat="1" x14ac:dyDescent="0.3">
      <c r="B160" s="83"/>
      <c r="C160" s="195"/>
      <c r="D160" s="255" t="str">
        <f xml:space="preserve"> 'Key inputs &amp; outputs'!D$41</f>
        <v>9 Nature and landscape - sensitivity factor</v>
      </c>
      <c r="E160" s="205"/>
      <c r="F160" s="255">
        <f xml:space="preserve"> 'Key inputs &amp; outputs'!F$41</f>
        <v>0.5</v>
      </c>
      <c r="G160" s="255" t="str">
        <f xml:space="preserve"> 'Key inputs &amp; outputs'!G$41</f>
        <v>factor</v>
      </c>
    </row>
    <row r="161" spans="2:7" s="92" customFormat="1" x14ac:dyDescent="0.3">
      <c r="B161" s="91"/>
      <c r="C161" s="193"/>
      <c r="D161" s="92" t="str">
        <f>B143</f>
        <v>9 Nature and landscape</v>
      </c>
      <c r="E161" s="90"/>
      <c r="F161" s="92">
        <f xml:space="preserve"> (F148 + F157) * F160</f>
        <v>363400246.06080002</v>
      </c>
      <c r="G161" s="92" t="s">
        <v>404</v>
      </c>
    </row>
    <row r="162" spans="2:7" x14ac:dyDescent="0.3">
      <c r="C162" s="185"/>
      <c r="F162" s="44"/>
    </row>
    <row r="163" spans="2:7" x14ac:dyDescent="0.3">
      <c r="B163" s="45" t="s">
        <v>185</v>
      </c>
      <c r="C163" s="185"/>
    </row>
    <row r="164" spans="2:7" s="10" customFormat="1" x14ac:dyDescent="0.3">
      <c r="B164" s="15"/>
      <c r="C164" s="292"/>
      <c r="D164" s="38" t="str">
        <f xml:space="preserve"> 'Key inputs &amp; outputs'!D$22</f>
        <v>Crop and fruit revenue - list number</v>
      </c>
      <c r="E164" s="205"/>
      <c r="F164" s="38">
        <f xml:space="preserve"> 'Key inputs &amp; outputs'!F$22</f>
        <v>24</v>
      </c>
      <c r="G164" s="38" t="str">
        <f xml:space="preserve"> 'Key inputs &amp; outputs'!G$22</f>
        <v>list number</v>
      </c>
    </row>
    <row r="165" spans="2:7" s="25" customFormat="1" ht="5.0999999999999996" customHeight="1" x14ac:dyDescent="0.3">
      <c r="B165" s="52"/>
      <c r="C165" s="180"/>
      <c r="E165" s="29"/>
    </row>
    <row r="166" spans="2:7" s="25" customFormat="1" x14ac:dyDescent="0.3">
      <c r="B166" s="52"/>
      <c r="C166" s="180"/>
      <c r="D166" s="242" t="str">
        <f xml:space="preserve"> 'Key inputs &amp; outputs'!D$23</f>
        <v xml:space="preserve">Crop and fruit revenue - Lost market access per day (%) </v>
      </c>
      <c r="E166" s="205"/>
      <c r="F166" s="242">
        <f xml:space="preserve"> 'Key inputs &amp; outputs'!F$23</f>
        <v>0.02</v>
      </c>
      <c r="G166" s="242" t="str">
        <f xml:space="preserve"> 'Key inputs &amp; outputs'!G$23</f>
        <v>%</v>
      </c>
    </row>
    <row r="167" spans="2:7" x14ac:dyDescent="0.3">
      <c r="B167" s="45"/>
      <c r="C167" s="185"/>
      <c r="D167" s="46" t="s">
        <v>281</v>
      </c>
      <c r="E167" s="26"/>
      <c r="F167" s="24" cm="1">
        <f t="array" ref="F167" xml:space="preserve"> INDEX('Other inputs (IDR)'!$F$127:$F$156, 'Non-road benefits calcs'!$F$164 + 1)</f>
        <v>3.125</v>
      </c>
      <c r="G167" s="25" t="s">
        <v>282</v>
      </c>
    </row>
    <row r="168" spans="2:7" s="25" customFormat="1" x14ac:dyDescent="0.3">
      <c r="B168" s="52"/>
      <c r="C168" s="180"/>
      <c r="D168" s="25" t="s">
        <v>283</v>
      </c>
      <c r="E168" s="29"/>
      <c r="F168" s="25">
        <f>F167*$F$166</f>
        <v>6.25E-2</v>
      </c>
      <c r="G168" s="25" t="s">
        <v>282</v>
      </c>
    </row>
    <row r="169" spans="2:7" s="25" customFormat="1" ht="5.0999999999999996" customHeight="1" x14ac:dyDescent="0.3">
      <c r="B169" s="52"/>
      <c r="C169" s="180"/>
      <c r="E169" s="29"/>
    </row>
    <row r="170" spans="2:7" s="19" customFormat="1" x14ac:dyDescent="0.3">
      <c r="B170" s="21"/>
      <c r="C170" s="154"/>
      <c r="D170" s="10" t="s">
        <v>284</v>
      </c>
      <c r="E170" s="26"/>
      <c r="F170" s="38" cm="1">
        <f t="array" ref="F170" xml:space="preserve"> INDEX('Other inputs (IDR)'!$I$127:$I$156, 'Non-road benefits calcs'!$F$164 + 1)</f>
        <v>6110224.5600000005</v>
      </c>
      <c r="G170" s="19" t="s">
        <v>398</v>
      </c>
    </row>
    <row r="171" spans="2:7" s="86" customFormat="1" x14ac:dyDescent="0.3">
      <c r="B171" s="97"/>
      <c r="C171" s="194"/>
      <c r="D171" s="220" t="str">
        <f xml:space="preserve"> 'Other inputs (IDR)'!D$158</f>
        <v>Number of ha considered by agricultural production</v>
      </c>
      <c r="E171" s="205"/>
      <c r="F171" s="220">
        <f xml:space="preserve"> 'Other inputs (IDR)'!F$158</f>
        <v>12466</v>
      </c>
      <c r="G171" s="220" t="str">
        <f xml:space="preserve"> 'Other inputs (IDR)'!G$158</f>
        <v>ha</v>
      </c>
    </row>
    <row r="172" spans="2:7" s="84" customFormat="1" x14ac:dyDescent="0.3">
      <c r="B172" s="83"/>
      <c r="C172" s="195"/>
      <c r="D172" s="255" t="str">
        <f xml:space="preserve"> 'Key inputs &amp; outputs'!D$42</f>
        <v>10 Crop and fruit revenue - sensitivity factor</v>
      </c>
      <c r="E172" s="205"/>
      <c r="F172" s="255">
        <f xml:space="preserve"> 'Key inputs &amp; outputs'!F$42</f>
        <v>1</v>
      </c>
      <c r="G172" s="255" t="str">
        <f xml:space="preserve"> 'Key inputs &amp; outputs'!G$42</f>
        <v>factor</v>
      </c>
    </row>
    <row r="173" spans="2:7" s="94" customFormat="1" x14ac:dyDescent="0.3">
      <c r="B173" s="93"/>
      <c r="C173" s="193"/>
      <c r="D173" s="94" t="str">
        <f xml:space="preserve"> B163</f>
        <v>10 Crop and fruit revenue</v>
      </c>
      <c r="E173" s="305"/>
      <c r="F173" s="94">
        <f xml:space="preserve"> F168 * F170 * F171 * F172</f>
        <v>4760628710.3100004</v>
      </c>
      <c r="G173" s="94" t="s">
        <v>404</v>
      </c>
    </row>
    <row r="174" spans="2:7" x14ac:dyDescent="0.3">
      <c r="B174" s="45"/>
    </row>
    <row r="175" spans="2:7" x14ac:dyDescent="0.3">
      <c r="B175" s="48" t="s">
        <v>225</v>
      </c>
    </row>
    <row r="176" spans="2:7" x14ac:dyDescent="0.3">
      <c r="D176" s="24" t="str">
        <f xml:space="preserve"> 'Key inputs &amp; outputs'!D$25</f>
        <v>Kg of fish transported</v>
      </c>
      <c r="E176" s="205"/>
      <c r="F176" s="24">
        <f xml:space="preserve"> 'Key inputs &amp; outputs'!F$25</f>
        <v>50</v>
      </c>
      <c r="G176" s="24" t="str">
        <f xml:space="preserve"> 'Key inputs &amp; outputs'!G$25</f>
        <v>kg</v>
      </c>
    </row>
    <row r="177" spans="2:8" x14ac:dyDescent="0.3">
      <c r="D177" s="24" t="str">
        <f xml:space="preserve"> 'Other inputs (IDR)'!D$163</f>
        <v>Production value</v>
      </c>
      <c r="E177" s="205"/>
      <c r="F177" s="24">
        <f xml:space="preserve"> 'Other inputs (IDR)'!F$163</f>
        <v>1561200</v>
      </c>
      <c r="G177" s="24" t="str">
        <f xml:space="preserve"> 'Other inputs (IDR)'!G$163</f>
        <v>IDR/kg</v>
      </c>
    </row>
    <row r="178" spans="2:8" x14ac:dyDescent="0.3">
      <c r="D178" s="242" t="str">
        <f xml:space="preserve"> 'Other inputs (IDR)'!D$166</f>
        <v xml:space="preserve">Fish revenue - Lost market Access per day (%) </v>
      </c>
      <c r="E178" s="205"/>
      <c r="F178" s="242">
        <f xml:space="preserve"> 'Other inputs (IDR)'!F$166</f>
        <v>0.02</v>
      </c>
      <c r="G178" s="242" t="str">
        <f xml:space="preserve"> 'Other inputs (IDR)'!G$166</f>
        <v>%</v>
      </c>
    </row>
    <row r="179" spans="2:8" s="84" customFormat="1" x14ac:dyDescent="0.3">
      <c r="B179" s="83"/>
      <c r="C179" s="195"/>
      <c r="D179" s="255" t="str">
        <f xml:space="preserve"> 'Key inputs &amp; outputs'!D$43</f>
        <v>11 Fish revenue - sensitivity factor</v>
      </c>
      <c r="E179" s="205"/>
      <c r="F179" s="255">
        <f xml:space="preserve"> 'Key inputs &amp; outputs'!F$43</f>
        <v>1</v>
      </c>
      <c r="G179" s="255" t="str">
        <f xml:space="preserve"> 'Key inputs &amp; outputs'!G$43</f>
        <v>factor</v>
      </c>
    </row>
    <row r="180" spans="2:8" s="94" customFormat="1" x14ac:dyDescent="0.3">
      <c r="B180" s="93"/>
      <c r="C180" s="193"/>
      <c r="D180" s="94" t="str">
        <f xml:space="preserve"> B175</f>
        <v xml:space="preserve">11 Fish revenue </v>
      </c>
      <c r="E180" s="305"/>
      <c r="F180" s="94">
        <f xml:space="preserve"> F176 * F177 * F178 * F179</f>
        <v>1561200</v>
      </c>
      <c r="G180" s="94" t="s">
        <v>404</v>
      </c>
    </row>
    <row r="182" spans="2:8" x14ac:dyDescent="0.3">
      <c r="B182" s="45" t="s">
        <v>230</v>
      </c>
    </row>
    <row r="183" spans="2:8" s="45" customFormat="1" x14ac:dyDescent="0.3">
      <c r="C183" s="186"/>
      <c r="D183" s="287" t="s">
        <v>285</v>
      </c>
      <c r="E183" s="306"/>
      <c r="F183" s="38"/>
    </row>
    <row r="184" spans="2:8" s="9" customFormat="1" x14ac:dyDescent="0.3">
      <c r="B184" s="15"/>
      <c r="C184" s="264"/>
      <c r="D184" s="38" t="str">
        <f xml:space="preserve"> 'Key inputs &amp; outputs'!D$28</f>
        <v>Livestock revenue - list number</v>
      </c>
      <c r="E184" s="205"/>
      <c r="F184" s="38">
        <f xml:space="preserve"> 'Key inputs &amp; outputs'!F$28</f>
        <v>1</v>
      </c>
      <c r="G184" s="38" t="str">
        <f xml:space="preserve"> 'Key inputs &amp; outputs'!G$28</f>
        <v>list number</v>
      </c>
    </row>
    <row r="185" spans="2:8" s="25" customFormat="1" ht="5.0999999999999996" customHeight="1" x14ac:dyDescent="0.3">
      <c r="B185" s="52"/>
      <c r="C185" s="180"/>
      <c r="E185" s="29"/>
    </row>
    <row r="186" spans="2:8" s="19" customFormat="1" x14ac:dyDescent="0.3">
      <c r="B186" s="21"/>
      <c r="C186" s="154"/>
      <c r="D186" s="19" t="s">
        <v>286</v>
      </c>
      <c r="E186" s="29"/>
      <c r="F186" s="38" cm="1">
        <f t="array" ref="F186" xml:space="preserve"> INDEX('Other inputs (IDR)'!$I$174:$I$177, 'Non-road benefits calcs'!F$184 + 1)</f>
        <v>65085140010000.008</v>
      </c>
      <c r="G186" s="19" t="s">
        <v>400</v>
      </c>
    </row>
    <row r="187" spans="2:8" s="19" customFormat="1" x14ac:dyDescent="0.3">
      <c r="B187" s="21"/>
      <c r="C187" s="154"/>
      <c r="D187" s="19" t="s">
        <v>287</v>
      </c>
      <c r="E187" s="29"/>
      <c r="F187" s="158">
        <v>18050000</v>
      </c>
      <c r="G187" s="265" t="s">
        <v>425</v>
      </c>
    </row>
    <row r="188" spans="2:8" s="25" customFormat="1" x14ac:dyDescent="0.3">
      <c r="B188" s="52"/>
      <c r="C188" s="180"/>
      <c r="D188" s="25" t="s">
        <v>226</v>
      </c>
      <c r="E188" s="29"/>
      <c r="F188" s="19">
        <f xml:space="preserve"> F186 / F187</f>
        <v>3605824.9313019393</v>
      </c>
      <c r="G188" s="25" t="s">
        <v>408</v>
      </c>
      <c r="H188" s="19"/>
    </row>
    <row r="189" spans="2:8" s="25" customFormat="1" ht="5.0999999999999996" customHeight="1" x14ac:dyDescent="0.3">
      <c r="B189" s="52"/>
      <c r="C189" s="180"/>
      <c r="D189" s="46"/>
      <c r="E189" s="26"/>
    </row>
    <row r="190" spans="2:8" s="25" customFormat="1" x14ac:dyDescent="0.3">
      <c r="B190" s="52"/>
      <c r="C190" s="180"/>
      <c r="D190" s="242" t="str">
        <f xml:space="preserve"> 'Key inputs &amp; outputs'!D$29</f>
        <v xml:space="preserve">Livestock revenue - Lost market access per day (%) </v>
      </c>
      <c r="E190" s="205"/>
      <c r="F190" s="242">
        <f xml:space="preserve"> 'Key inputs &amp; outputs'!F$29</f>
        <v>0.02</v>
      </c>
      <c r="G190" s="242" t="str">
        <f xml:space="preserve"> 'Key inputs &amp; outputs'!G$29</f>
        <v>%</v>
      </c>
    </row>
    <row r="191" spans="2:8" s="25" customFormat="1" x14ac:dyDescent="0.3">
      <c r="B191" s="52"/>
      <c r="C191" s="180"/>
      <c r="D191" s="24" t="str">
        <f xml:space="preserve"> 'Other inputs (IDR)'!D$194</f>
        <v>Meat, cattle</v>
      </c>
      <c r="E191" s="205"/>
      <c r="F191" s="38">
        <f>'WestKalimant Data (IDR)'!C19</f>
        <v>222.08647634171871</v>
      </c>
      <c r="G191" s="24" t="str">
        <f xml:space="preserve"> 'Other inputs (IDR)'!G$194</f>
        <v>Number of animals</v>
      </c>
    </row>
    <row r="192" spans="2:8" s="25" customFormat="1" ht="5.0999999999999996" customHeight="1" x14ac:dyDescent="0.3">
      <c r="B192" s="52"/>
      <c r="C192" s="180"/>
      <c r="D192" s="46"/>
      <c r="E192" s="26"/>
    </row>
    <row r="193" spans="2:7" s="54" customFormat="1" x14ac:dyDescent="0.3">
      <c r="B193" s="53"/>
      <c r="C193" s="185"/>
      <c r="D193" s="54" t="s">
        <v>288</v>
      </c>
      <c r="E193" s="307"/>
      <c r="F193" s="94">
        <f xml:space="preserve"> F188 * F190 * F191</f>
        <v>16016099.065959351</v>
      </c>
      <c r="G193" s="54" t="s">
        <v>404</v>
      </c>
    </row>
    <row r="194" spans="2:7" s="54" customFormat="1" x14ac:dyDescent="0.3">
      <c r="B194" s="53"/>
      <c r="C194" s="185"/>
      <c r="E194" s="307"/>
      <c r="F194" s="94"/>
    </row>
    <row r="195" spans="2:7" s="54" customFormat="1" x14ac:dyDescent="0.3">
      <c r="B195" s="53"/>
      <c r="C195" s="185"/>
      <c r="D195" s="19" t="s">
        <v>426</v>
      </c>
      <c r="E195" s="29"/>
      <c r="F195" s="384">
        <f>'Other inputs (IDR)'!I176</f>
        <v>223771651332000</v>
      </c>
      <c r="G195" s="19" t="s">
        <v>400</v>
      </c>
    </row>
    <row r="196" spans="2:7" s="54" customFormat="1" x14ac:dyDescent="0.3">
      <c r="B196" s="53"/>
      <c r="C196" s="185"/>
      <c r="D196" s="19" t="s">
        <v>427</v>
      </c>
      <c r="E196" s="29"/>
      <c r="F196" s="158">
        <v>3482430000</v>
      </c>
      <c r="G196" s="265" t="s">
        <v>425</v>
      </c>
    </row>
    <row r="197" spans="2:7" s="54" customFormat="1" x14ac:dyDescent="0.3">
      <c r="B197" s="53"/>
      <c r="C197" s="185"/>
      <c r="D197" s="25" t="s">
        <v>226</v>
      </c>
      <c r="E197" s="29"/>
      <c r="F197" s="19">
        <f xml:space="preserve"> F195 / F196</f>
        <v>64257.32931659789</v>
      </c>
      <c r="G197" s="25" t="s">
        <v>408</v>
      </c>
    </row>
    <row r="198" spans="2:7" s="54" customFormat="1" ht="3.6" customHeight="1" x14ac:dyDescent="0.3">
      <c r="B198" s="53"/>
      <c r="C198" s="185"/>
      <c r="D198" s="46"/>
      <c r="E198" s="26"/>
      <c r="F198" s="25"/>
      <c r="G198" s="25"/>
    </row>
    <row r="199" spans="2:7" s="54" customFormat="1" x14ac:dyDescent="0.3">
      <c r="B199" s="53"/>
      <c r="C199" s="185"/>
      <c r="D199" s="242" t="str">
        <f xml:space="preserve"> 'Key inputs &amp; outputs'!D$29</f>
        <v xml:space="preserve">Livestock revenue - Lost market access per day (%) </v>
      </c>
      <c r="E199" s="205"/>
      <c r="F199" s="242">
        <f xml:space="preserve"> 'Key inputs &amp; outputs'!F$29</f>
        <v>0.02</v>
      </c>
      <c r="G199" s="242" t="str">
        <f xml:space="preserve"> 'Key inputs &amp; outputs'!G$29</f>
        <v>%</v>
      </c>
    </row>
    <row r="200" spans="2:7" s="54" customFormat="1" x14ac:dyDescent="0.3">
      <c r="B200" s="53"/>
      <c r="C200" s="185"/>
      <c r="D200" s="24" t="str">
        <f xml:space="preserve"> 'Other inputs (IDR)'!D$194</f>
        <v>Meat, cattle</v>
      </c>
      <c r="E200" s="205"/>
      <c r="F200" s="38">
        <f>'WestKalimant Data (IDR)'!C22</f>
        <v>87021.572165878664</v>
      </c>
      <c r="G200" s="24" t="str">
        <f xml:space="preserve"> 'Other inputs (IDR)'!G$194</f>
        <v>Number of animals</v>
      </c>
    </row>
    <row r="201" spans="2:7" s="54" customFormat="1" ht="2.4" customHeight="1" x14ac:dyDescent="0.3">
      <c r="B201" s="53"/>
      <c r="C201" s="185"/>
      <c r="D201" s="46"/>
      <c r="E201" s="26"/>
      <c r="F201" s="25"/>
      <c r="G201" s="25"/>
    </row>
    <row r="202" spans="2:7" s="54" customFormat="1" x14ac:dyDescent="0.3">
      <c r="B202" s="53"/>
      <c r="C202" s="185"/>
      <c r="D202" s="54" t="s">
        <v>288</v>
      </c>
      <c r="E202" s="307"/>
      <c r="F202" s="94">
        <f xml:space="preserve"> F197 * F199 * F200</f>
        <v>111835476.40621909</v>
      </c>
      <c r="G202" s="54" t="s">
        <v>404</v>
      </c>
    </row>
    <row r="203" spans="2:7" x14ac:dyDescent="0.3">
      <c r="B203" s="45"/>
    </row>
    <row r="204" spans="2:7" s="45" customFormat="1" x14ac:dyDescent="0.3">
      <c r="C204" s="186" t="s">
        <v>289</v>
      </c>
      <c r="E204" s="303"/>
    </row>
    <row r="205" spans="2:7" x14ac:dyDescent="0.3">
      <c r="D205" s="24" t="str">
        <f xml:space="preserve"> 'Key inputs &amp; outputs'!D$30</f>
        <v>Number of vehicles carrying livestock</v>
      </c>
      <c r="E205" s="205"/>
      <c r="F205" s="24">
        <f xml:space="preserve"> 'Key inputs &amp; outputs'!F$30</f>
        <v>20</v>
      </c>
      <c r="G205" s="51" t="str">
        <f xml:space="preserve"> 'Key inputs &amp; outputs'!G$30</f>
        <v>vehicles</v>
      </c>
    </row>
    <row r="206" spans="2:7" s="69" customFormat="1" x14ac:dyDescent="0.3">
      <c r="B206" s="67"/>
      <c r="C206" s="187"/>
      <c r="D206" s="68" t="str">
        <f>'Key inputs &amp; outputs'!D$11</f>
        <v>Km of diversion</v>
      </c>
      <c r="E206" s="66"/>
      <c r="F206" s="68">
        <f>'Key inputs &amp; outputs'!F$11</f>
        <v>130</v>
      </c>
      <c r="G206" s="68" t="str">
        <f>'Key inputs &amp; outputs'!G$11</f>
        <v>km</v>
      </c>
    </row>
    <row r="207" spans="2:7" s="84" customFormat="1" x14ac:dyDescent="0.3">
      <c r="B207" s="83"/>
      <c r="C207" s="195"/>
      <c r="D207" s="206" t="s">
        <v>289</v>
      </c>
      <c r="E207" s="26"/>
      <c r="F207" s="85">
        <f>'Other inputs (IDR)'!G189</f>
        <v>16797.578565600001</v>
      </c>
      <c r="G207" s="206" t="s">
        <v>401</v>
      </c>
    </row>
    <row r="208" spans="2:7" x14ac:dyDescent="0.3">
      <c r="D208" s="48" t="s">
        <v>289</v>
      </c>
      <c r="E208" s="65"/>
      <c r="F208" s="47">
        <f>F205*F206*F207</f>
        <v>43673704.270560004</v>
      </c>
      <c r="G208" s="47" t="s">
        <v>404</v>
      </c>
    </row>
    <row r="210" spans="2:7" x14ac:dyDescent="0.3">
      <c r="C210" s="175" t="s">
        <v>272</v>
      </c>
    </row>
    <row r="211" spans="2:7" s="84" customFormat="1" x14ac:dyDescent="0.3">
      <c r="B211" s="83"/>
      <c r="C211" s="195"/>
      <c r="D211" s="255" t="str">
        <f xml:space="preserve"> 'Key inputs &amp; outputs'!D$44</f>
        <v>12 Livestock revenue - sensitivity factor</v>
      </c>
      <c r="E211" s="205"/>
      <c r="F211" s="255">
        <f xml:space="preserve"> 'Key inputs &amp; outputs'!F$44</f>
        <v>1</v>
      </c>
      <c r="G211" s="255" t="str">
        <f xml:space="preserve"> 'Key inputs &amp; outputs'!G$44</f>
        <v>factor</v>
      </c>
    </row>
    <row r="212" spans="2:7" s="94" customFormat="1" x14ac:dyDescent="0.3">
      <c r="B212" s="93"/>
      <c r="C212" s="193"/>
      <c r="D212" s="94" t="str">
        <f>B182</f>
        <v xml:space="preserve">12 Livestock revenue </v>
      </c>
      <c r="E212" s="305"/>
      <c r="F212" s="94">
        <f xml:space="preserve"> (F193 + F208) * F211</f>
        <v>59689803.336519353</v>
      </c>
      <c r="G212" s="94" t="s">
        <v>404</v>
      </c>
    </row>
    <row r="214" spans="2:7" s="45" customFormat="1" x14ac:dyDescent="0.3">
      <c r="B214" s="48" t="s">
        <v>246</v>
      </c>
      <c r="C214" s="186"/>
      <c r="E214" s="303"/>
      <c r="F214" s="46"/>
    </row>
    <row r="215" spans="2:7" s="16" customFormat="1" x14ac:dyDescent="0.3">
      <c r="B215" s="65"/>
      <c r="C215" s="176"/>
      <c r="D215" s="205" t="str">
        <f xml:space="preserve"> 'Key inputs &amp; outputs'!D$12</f>
        <v>People impacted per day</v>
      </c>
      <c r="E215" s="205"/>
      <c r="F215" s="205">
        <f xml:space="preserve"> 'Key inputs &amp; outputs'!F$12</f>
        <v>10000</v>
      </c>
      <c r="G215" s="66" t="str">
        <f xml:space="preserve"> 'Key inputs &amp; outputs'!G$12</f>
        <v>people</v>
      </c>
    </row>
    <row r="216" spans="2:7" x14ac:dyDescent="0.3">
      <c r="D216" s="24" t="str">
        <f xml:space="preserve"> 'Other inputs (IDR)'!D$198</f>
        <v>Average cost of delivery specific item per person</v>
      </c>
      <c r="E216" s="205"/>
      <c r="F216" s="24">
        <f xml:space="preserve"> 'Other inputs (IDR)'!F$198</f>
        <v>1031843</v>
      </c>
      <c r="G216" s="24" t="str">
        <f xml:space="preserve"> 'Other inputs (IDR)'!G$198</f>
        <v>IDR/person</v>
      </c>
    </row>
    <row r="217" spans="2:7" s="84" customFormat="1" x14ac:dyDescent="0.3">
      <c r="B217" s="83"/>
      <c r="C217" s="195"/>
      <c r="D217" s="255" t="str">
        <f xml:space="preserve"> 'Key inputs &amp; outputs'!D$45</f>
        <v>13 Access to essential items/services - sensitivity factor</v>
      </c>
      <c r="E217" s="205"/>
      <c r="F217" s="255">
        <f xml:space="preserve"> 'Key inputs &amp; outputs'!F$45</f>
        <v>0.05</v>
      </c>
      <c r="G217" s="255" t="str">
        <f xml:space="preserve"> 'Key inputs &amp; outputs'!G$45</f>
        <v>factor</v>
      </c>
    </row>
    <row r="218" spans="2:7" s="94" customFormat="1" x14ac:dyDescent="0.3">
      <c r="B218" s="93"/>
      <c r="C218" s="193"/>
      <c r="D218" s="94" t="str">
        <f xml:space="preserve"> B214</f>
        <v>13 Access to essential items/services</v>
      </c>
      <c r="E218" s="305"/>
      <c r="F218" s="94">
        <f xml:space="preserve"> F215 * F216 * F217</f>
        <v>515921500</v>
      </c>
      <c r="G218" s="94" t="s">
        <v>404</v>
      </c>
    </row>
    <row r="220" spans="2:7" s="45" customFormat="1" x14ac:dyDescent="0.3">
      <c r="B220" s="48" t="s">
        <v>249</v>
      </c>
      <c r="C220" s="186"/>
      <c r="E220" s="303"/>
      <c r="F220" s="46"/>
    </row>
    <row r="221" spans="2:7" s="16" customFormat="1" x14ac:dyDescent="0.3">
      <c r="B221" s="65"/>
      <c r="C221" s="176"/>
      <c r="D221" s="205" t="str">
        <f xml:space="preserve"> 'Key inputs &amp; outputs'!D$12</f>
        <v>People impacted per day</v>
      </c>
      <c r="E221" s="205"/>
      <c r="F221" s="205">
        <f xml:space="preserve"> 'Key inputs &amp; outputs'!F$12</f>
        <v>10000</v>
      </c>
      <c r="G221" s="66" t="str">
        <f xml:space="preserve"> 'Key inputs &amp; outputs'!G$12</f>
        <v>people</v>
      </c>
    </row>
    <row r="222" spans="2:7" s="46" customFormat="1" x14ac:dyDescent="0.3">
      <c r="B222" s="45"/>
      <c r="C222" s="186"/>
      <c r="D222" s="289" t="str">
        <f xml:space="preserve"> 'Other inputs (IDR)'!D$202</f>
        <v>% of people who cannot go to work</v>
      </c>
      <c r="E222" s="205"/>
      <c r="F222" s="289">
        <f xml:space="preserve"> 'Other inputs (IDR)'!F$202</f>
        <v>0.2</v>
      </c>
      <c r="G222" s="289" t="str">
        <f xml:space="preserve"> 'Other inputs (IDR)'!G$202</f>
        <v>%</v>
      </c>
    </row>
    <row r="223" spans="2:7" s="46" customFormat="1" x14ac:dyDescent="0.3">
      <c r="B223" s="45"/>
      <c r="C223" s="186"/>
      <c r="D223" s="289" t="str">
        <f xml:space="preserve"> 'Other inputs (IDR)'!D$203</f>
        <v>% of people who cannot go to school</v>
      </c>
      <c r="E223" s="205"/>
      <c r="F223" s="289">
        <f xml:space="preserve"> 'Other inputs (IDR)'!F$203</f>
        <v>0.1</v>
      </c>
      <c r="G223" s="289" t="str">
        <f xml:space="preserve"> 'Other inputs (IDR)'!G$203</f>
        <v>%</v>
      </c>
    </row>
    <row r="224" spans="2:7" x14ac:dyDescent="0.3">
      <c r="D224" s="47" t="s">
        <v>290</v>
      </c>
      <c r="F224" s="47">
        <f>F221*(F223+F222)</f>
        <v>3000.0000000000005</v>
      </c>
      <c r="G224" s="46" t="s">
        <v>291</v>
      </c>
    </row>
    <row r="225" spans="1:7" ht="5.0999999999999996" customHeight="1" x14ac:dyDescent="0.3"/>
    <row r="226" spans="1:7" x14ac:dyDescent="0.3">
      <c r="B226" s="45"/>
      <c r="C226" s="186"/>
      <c r="D226" s="24" t="str">
        <f xml:space="preserve"> 'Other inputs (IDR)'!D$205</f>
        <v>Daily average salary</v>
      </c>
      <c r="E226" s="205"/>
      <c r="F226" s="24">
        <f xml:space="preserve"> 'Other inputs (IDR)'!F$205</f>
        <v>205222.94794520549</v>
      </c>
      <c r="G226" s="24" t="str">
        <f xml:space="preserve"> 'Other inputs (IDR)'!G$205</f>
        <v>IDR/person/day</v>
      </c>
    </row>
    <row r="227" spans="1:7" s="84" customFormat="1" x14ac:dyDescent="0.3">
      <c r="B227" s="83"/>
      <c r="C227" s="195"/>
      <c r="D227" s="255" t="str">
        <f xml:space="preserve"> 'Key inputs &amp; outputs'!D$46</f>
        <v>14 Access to workplace and schools - sensitivity factor</v>
      </c>
      <c r="E227" s="205"/>
      <c r="F227" s="255">
        <f xml:space="preserve"> 'Key inputs &amp; outputs'!F$46</f>
        <v>1</v>
      </c>
      <c r="G227" s="255" t="str">
        <f xml:space="preserve"> 'Key inputs &amp; outputs'!G$46</f>
        <v>factor</v>
      </c>
    </row>
    <row r="228" spans="1:7" s="96" customFormat="1" x14ac:dyDescent="0.3">
      <c r="B228" s="95"/>
      <c r="C228" s="196"/>
      <c r="D228" s="94" t="str">
        <f xml:space="preserve"> B220</f>
        <v xml:space="preserve">14 Access to workplace and schools </v>
      </c>
      <c r="E228" s="305"/>
      <c r="F228" s="94">
        <f>F224 * F226 * F227</f>
        <v>615668843.83561659</v>
      </c>
      <c r="G228" s="94" t="s">
        <v>404</v>
      </c>
    </row>
    <row r="230" spans="1:7" s="45" customFormat="1" x14ac:dyDescent="0.3">
      <c r="B230" s="48" t="s">
        <v>254</v>
      </c>
      <c r="C230" s="186"/>
      <c r="E230" s="303"/>
      <c r="F230" s="46"/>
    </row>
    <row r="231" spans="1:7" x14ac:dyDescent="0.3">
      <c r="D231" s="224" t="str">
        <f xml:space="preserve"> 'Other inputs (IDR)'!D$208</f>
        <v>Mental health-related services cost per person per annum</v>
      </c>
      <c r="E231" s="66"/>
      <c r="F231" s="224">
        <f xml:space="preserve"> 'Other inputs (IDR)'!F$208</f>
        <v>4447243.33</v>
      </c>
      <c r="G231" s="224" t="str">
        <f xml:space="preserve"> 'Other inputs (IDR)'!G$208</f>
        <v>IDR/person/day</v>
      </c>
    </row>
    <row r="232" spans="1:7" s="16" customFormat="1" x14ac:dyDescent="0.3">
      <c r="B232" s="65"/>
      <c r="C232" s="176"/>
      <c r="D232" s="205" t="str">
        <f xml:space="preserve"> 'Other inputs (IDR)'!D$9</f>
        <v>Days per year</v>
      </c>
      <c r="E232" s="205"/>
      <c r="F232" s="205">
        <f xml:space="preserve"> 'Other inputs (IDR)'!F$9</f>
        <v>365</v>
      </c>
      <c r="G232" s="205" t="str">
        <f xml:space="preserve"> 'Other inputs (IDR)'!G$9</f>
        <v>days</v>
      </c>
    </row>
    <row r="233" spans="1:7" s="43" customFormat="1" x14ac:dyDescent="0.3">
      <c r="B233" s="325"/>
      <c r="C233" s="326"/>
      <c r="D233" s="25" t="s">
        <v>292</v>
      </c>
      <c r="E233" s="25"/>
      <c r="F233" s="25">
        <f xml:space="preserve"> F231 / F232</f>
        <v>12184.228301369863</v>
      </c>
      <c r="G233" s="25" t="s">
        <v>403</v>
      </c>
    </row>
    <row r="234" spans="1:7" ht="5.0999999999999996" customHeight="1" x14ac:dyDescent="0.3">
      <c r="F234" s="51"/>
    </row>
    <row r="235" spans="1:7" s="16" customFormat="1" x14ac:dyDescent="0.3">
      <c r="B235" s="65"/>
      <c r="C235" s="176"/>
      <c r="D235" s="205" t="str">
        <f xml:space="preserve"> 'Key inputs &amp; outputs'!D$12</f>
        <v>People impacted per day</v>
      </c>
      <c r="E235" s="205"/>
      <c r="F235" s="205">
        <f xml:space="preserve"> 'Key inputs &amp; outputs'!F$12</f>
        <v>10000</v>
      </c>
      <c r="G235" s="66" t="str">
        <f xml:space="preserve"> 'Key inputs &amp; outputs'!G$12</f>
        <v>people</v>
      </c>
    </row>
    <row r="236" spans="1:7" s="84" customFormat="1" x14ac:dyDescent="0.3">
      <c r="B236" s="83"/>
      <c r="C236" s="195"/>
      <c r="D236" s="255" t="str">
        <f xml:space="preserve"> 'Key inputs &amp; outputs'!D$47</f>
        <v>15 Mental health - sensitivity factor</v>
      </c>
      <c r="E236" s="205"/>
      <c r="F236" s="255">
        <f xml:space="preserve"> 'Key inputs &amp; outputs'!F$47</f>
        <v>0.05</v>
      </c>
      <c r="G236" s="255" t="str">
        <f xml:space="preserve"> 'Key inputs &amp; outputs'!G$47</f>
        <v>factor</v>
      </c>
    </row>
    <row r="237" spans="1:7" s="94" customFormat="1" x14ac:dyDescent="0.3">
      <c r="B237" s="93"/>
      <c r="C237" s="193"/>
      <c r="D237" s="94" t="str">
        <f xml:space="preserve"> B230</f>
        <v xml:space="preserve">15 Mental health </v>
      </c>
      <c r="E237" s="305"/>
      <c r="F237" s="204">
        <f xml:space="preserve"> F233 * F235 * F236</f>
        <v>6092114.1506849322</v>
      </c>
      <c r="G237" s="94" t="s">
        <v>404</v>
      </c>
    </row>
    <row r="239" spans="1:7" x14ac:dyDescent="0.3">
      <c r="A239" s="48" t="s">
        <v>26</v>
      </c>
    </row>
  </sheetData>
  <dataValidations count="1">
    <dataValidation type="list" allowBlank="1" showInputMessage="1" showErrorMessage="1" sqref="D184:E184" xr:uid="{FB1D39B0-7859-4286-A5D9-36AA397BD3F4}">
      <formula1>Livestock_list</formula1>
    </dataValidation>
  </dataValidations>
  <pageMargins left="0.70866141732283472" right="0.70866141732283472" top="0.74803149606299213" bottom="0.74803149606299213" header="0.31496062992125984" footer="0.31496062992125984"/>
  <pageSetup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6FED6-5A1D-4258-86E5-6A1266C5D5CD}">
  <sheetPr>
    <tabColor rgb="FFFFC000"/>
  </sheetPr>
  <dimension ref="A1:AMT31"/>
  <sheetViews>
    <sheetView topLeftCell="ALA1" zoomScale="63" zoomScaleNormal="63" workbookViewId="0">
      <selection activeCell="ALR29" sqref="ALR29"/>
    </sheetView>
  </sheetViews>
  <sheetFormatPr defaultRowHeight="14.4" x14ac:dyDescent="0.3"/>
  <cols>
    <col min="1" max="1" width="5.5546875" style="364" customWidth="1"/>
    <col min="2" max="2" width="42.44140625" customWidth="1"/>
    <col min="3" max="4" width="11.109375" customWidth="1"/>
    <col min="5" max="5" width="14.33203125" customWidth="1"/>
    <col min="6" max="120" width="11.109375" customWidth="1"/>
    <col min="121" max="434" width="12.5546875" customWidth="1"/>
  </cols>
  <sheetData>
    <row r="1" spans="2:1034" ht="18" x14ac:dyDescent="0.35">
      <c r="B1" s="352" t="s">
        <v>378</v>
      </c>
    </row>
    <row r="2" spans="2:1034" x14ac:dyDescent="0.3">
      <c r="B2" s="347" t="s">
        <v>376</v>
      </c>
      <c r="C2" s="351">
        <v>42005</v>
      </c>
      <c r="D2" s="351">
        <v>42036</v>
      </c>
      <c r="E2" s="351">
        <v>42064</v>
      </c>
      <c r="F2" s="351">
        <v>42095</v>
      </c>
      <c r="G2" s="351">
        <v>42125</v>
      </c>
      <c r="H2" s="351">
        <v>42156</v>
      </c>
      <c r="I2" s="351">
        <v>42186</v>
      </c>
      <c r="J2" s="351">
        <v>42217</v>
      </c>
      <c r="K2" s="351">
        <v>42248</v>
      </c>
      <c r="L2" s="351">
        <v>42278</v>
      </c>
      <c r="M2" s="351">
        <v>42309</v>
      </c>
      <c r="N2" s="351">
        <v>42339</v>
      </c>
      <c r="O2" s="351">
        <v>42370</v>
      </c>
      <c r="P2" s="351">
        <v>42401</v>
      </c>
      <c r="Q2" s="351">
        <v>42430</v>
      </c>
      <c r="R2" s="351">
        <v>42461</v>
      </c>
      <c r="S2" s="351">
        <v>42491</v>
      </c>
      <c r="T2" s="351">
        <v>42522</v>
      </c>
      <c r="U2" s="351">
        <v>42552</v>
      </c>
      <c r="V2" s="351">
        <v>42583</v>
      </c>
      <c r="W2" s="351">
        <v>42614</v>
      </c>
      <c r="X2" s="351">
        <v>42644</v>
      </c>
      <c r="Y2" s="351">
        <v>42675</v>
      </c>
      <c r="Z2" s="351">
        <v>42705</v>
      </c>
      <c r="AA2" s="351">
        <v>42736</v>
      </c>
      <c r="AB2" s="351">
        <v>42767</v>
      </c>
      <c r="AC2" s="351">
        <v>42795</v>
      </c>
      <c r="AD2" s="351">
        <v>42826</v>
      </c>
      <c r="AE2" s="351">
        <v>42856</v>
      </c>
      <c r="AF2" s="351">
        <v>42887</v>
      </c>
      <c r="AG2" s="351">
        <v>42917</v>
      </c>
      <c r="AH2" s="351">
        <v>42948</v>
      </c>
      <c r="AI2" s="351">
        <v>42979</v>
      </c>
      <c r="AJ2" s="351">
        <v>43009</v>
      </c>
      <c r="AK2" s="351">
        <v>43040</v>
      </c>
      <c r="AL2" s="351">
        <v>43070</v>
      </c>
      <c r="AM2" s="351">
        <v>43101</v>
      </c>
      <c r="AN2" s="351">
        <v>43132</v>
      </c>
      <c r="AO2" s="351">
        <v>43160</v>
      </c>
      <c r="AP2" s="351">
        <v>43191</v>
      </c>
      <c r="AQ2" s="351">
        <v>43221</v>
      </c>
      <c r="AR2" s="351">
        <v>43252</v>
      </c>
      <c r="AS2" s="351">
        <v>43282</v>
      </c>
      <c r="AT2" s="351">
        <v>43313</v>
      </c>
      <c r="AU2" s="351">
        <v>43344</v>
      </c>
      <c r="AV2" s="351">
        <v>43374</v>
      </c>
      <c r="AW2" s="351">
        <v>43405</v>
      </c>
      <c r="AX2" s="351">
        <v>43435</v>
      </c>
      <c r="AY2" s="351">
        <v>43466</v>
      </c>
      <c r="AZ2" s="351">
        <v>43497</v>
      </c>
      <c r="BA2" s="351">
        <v>43525</v>
      </c>
      <c r="BB2" s="351">
        <v>43556</v>
      </c>
      <c r="BC2" s="351">
        <v>43586</v>
      </c>
      <c r="BD2" s="351">
        <v>43617</v>
      </c>
      <c r="BE2" s="351">
        <v>43647</v>
      </c>
      <c r="BF2" s="351">
        <v>43678</v>
      </c>
      <c r="BG2" s="351">
        <v>43709</v>
      </c>
      <c r="BH2" s="351">
        <v>43739</v>
      </c>
      <c r="BI2" s="351">
        <v>43770</v>
      </c>
      <c r="BJ2" s="351">
        <v>43800</v>
      </c>
      <c r="BK2" s="351">
        <v>43831</v>
      </c>
      <c r="BL2" s="351">
        <v>43862</v>
      </c>
      <c r="BM2" s="351">
        <v>43891</v>
      </c>
      <c r="BN2" s="351">
        <v>43922</v>
      </c>
      <c r="BO2" s="351">
        <v>43952</v>
      </c>
      <c r="BP2" s="351">
        <v>43983</v>
      </c>
      <c r="BQ2" s="351">
        <v>44013</v>
      </c>
      <c r="BR2" s="351">
        <v>44044</v>
      </c>
      <c r="BS2" s="351">
        <v>44075</v>
      </c>
      <c r="BT2" s="351">
        <v>44105</v>
      </c>
      <c r="BU2" s="351">
        <v>44136</v>
      </c>
      <c r="BV2" s="351">
        <v>44166</v>
      </c>
      <c r="BW2" s="351">
        <v>44197</v>
      </c>
      <c r="BX2" s="351">
        <v>44228</v>
      </c>
      <c r="BY2" s="351">
        <v>44256</v>
      </c>
      <c r="BZ2" s="351">
        <v>44287</v>
      </c>
      <c r="CA2" s="351">
        <v>44317</v>
      </c>
      <c r="CB2" s="351">
        <v>44348</v>
      </c>
      <c r="CC2" s="351">
        <v>44378</v>
      </c>
      <c r="CD2" s="351">
        <v>44409</v>
      </c>
      <c r="CE2" s="351">
        <v>44440</v>
      </c>
      <c r="CF2" s="351">
        <v>44470</v>
      </c>
      <c r="CG2" s="351">
        <v>44501</v>
      </c>
      <c r="CH2" s="351">
        <v>44531</v>
      </c>
      <c r="CI2" s="351">
        <v>44562</v>
      </c>
      <c r="CJ2" s="351">
        <v>44593</v>
      </c>
      <c r="CK2" s="351">
        <v>44621</v>
      </c>
      <c r="CL2" s="351">
        <v>44652</v>
      </c>
      <c r="CM2" s="351">
        <v>44682</v>
      </c>
      <c r="CN2" s="351">
        <v>44713</v>
      </c>
      <c r="CO2" s="351">
        <v>44743</v>
      </c>
      <c r="CP2" s="351">
        <v>44774</v>
      </c>
      <c r="CQ2" s="351">
        <v>44805</v>
      </c>
      <c r="CR2" s="351">
        <v>44835</v>
      </c>
      <c r="CS2" s="351">
        <v>44866</v>
      </c>
      <c r="CT2" s="351">
        <v>44896</v>
      </c>
      <c r="CU2" s="351">
        <v>44927</v>
      </c>
      <c r="CV2" s="351">
        <v>44958</v>
      </c>
      <c r="CW2" s="351">
        <v>44986</v>
      </c>
      <c r="CX2" s="351">
        <v>45017</v>
      </c>
      <c r="CY2" s="351">
        <v>45047</v>
      </c>
      <c r="CZ2" s="351">
        <v>45078</v>
      </c>
      <c r="DA2" s="351">
        <v>45108</v>
      </c>
      <c r="DB2" s="351">
        <v>45139</v>
      </c>
      <c r="DC2" s="351">
        <v>45170</v>
      </c>
      <c r="DD2" s="351">
        <v>45200</v>
      </c>
      <c r="DE2" s="351">
        <v>45231</v>
      </c>
      <c r="DF2" s="351">
        <v>45261</v>
      </c>
      <c r="DG2" s="351">
        <v>45292</v>
      </c>
      <c r="DH2" s="351">
        <v>45323</v>
      </c>
      <c r="DI2" s="351">
        <v>45352</v>
      </c>
      <c r="DJ2" s="351">
        <v>45383</v>
      </c>
      <c r="DK2" s="351">
        <v>45413</v>
      </c>
      <c r="DL2" s="351">
        <v>45444</v>
      </c>
      <c r="DM2" s="351">
        <v>45474</v>
      </c>
      <c r="DN2" s="351">
        <v>45505</v>
      </c>
      <c r="DO2" s="351">
        <v>45536</v>
      </c>
      <c r="DP2" s="351">
        <v>45566</v>
      </c>
      <c r="DQ2" s="351">
        <v>45597</v>
      </c>
      <c r="DR2" s="351">
        <v>45627</v>
      </c>
      <c r="DS2" s="351">
        <v>45658</v>
      </c>
      <c r="DT2" s="351">
        <v>45689</v>
      </c>
      <c r="DU2" s="351">
        <v>45717</v>
      </c>
      <c r="DV2" s="351">
        <v>45748</v>
      </c>
      <c r="DW2" s="351">
        <v>45778</v>
      </c>
      <c r="DX2" s="351">
        <v>45809</v>
      </c>
      <c r="DY2" s="351">
        <v>45839</v>
      </c>
      <c r="DZ2" s="351">
        <v>45870</v>
      </c>
      <c r="EA2" s="351">
        <v>45901</v>
      </c>
      <c r="EB2" s="351">
        <v>45931</v>
      </c>
      <c r="EC2" s="351">
        <v>45962</v>
      </c>
      <c r="ED2" s="351">
        <v>45992</v>
      </c>
      <c r="EE2" s="351">
        <v>46023</v>
      </c>
      <c r="EF2" s="351">
        <v>46054</v>
      </c>
      <c r="EG2" s="351">
        <v>46082</v>
      </c>
      <c r="EH2" s="351">
        <v>46113</v>
      </c>
      <c r="EI2" s="351">
        <v>46143</v>
      </c>
      <c r="EJ2" s="351">
        <v>46174</v>
      </c>
      <c r="EK2" s="351">
        <v>46204</v>
      </c>
      <c r="EL2" s="351">
        <v>46235</v>
      </c>
      <c r="EM2" s="351">
        <v>46266</v>
      </c>
      <c r="EN2" s="351">
        <v>46296</v>
      </c>
      <c r="EO2" s="351">
        <v>46327</v>
      </c>
      <c r="EP2" s="351">
        <v>46357</v>
      </c>
      <c r="EQ2" s="351">
        <v>46388</v>
      </c>
      <c r="ER2" s="351">
        <v>46419</v>
      </c>
      <c r="ES2" s="351">
        <v>46447</v>
      </c>
      <c r="ET2" s="351">
        <v>46478</v>
      </c>
      <c r="EU2" s="351">
        <v>46508</v>
      </c>
      <c r="EV2" s="351">
        <v>46539</v>
      </c>
      <c r="EW2" s="351">
        <v>46569</v>
      </c>
      <c r="EX2" s="351">
        <v>46600</v>
      </c>
      <c r="EY2" s="351">
        <v>46631</v>
      </c>
      <c r="EZ2" s="351">
        <v>46661</v>
      </c>
      <c r="FA2" s="351">
        <v>46692</v>
      </c>
      <c r="FB2" s="351">
        <v>46722</v>
      </c>
      <c r="FC2" s="351">
        <v>46753</v>
      </c>
      <c r="FD2" s="351">
        <v>46784</v>
      </c>
      <c r="FE2" s="351">
        <v>46813</v>
      </c>
      <c r="FF2" s="351">
        <v>46844</v>
      </c>
      <c r="FG2" s="351">
        <v>46874</v>
      </c>
      <c r="FH2" s="351">
        <v>46905</v>
      </c>
      <c r="FI2" s="351">
        <v>46935</v>
      </c>
      <c r="FJ2" s="351">
        <v>46966</v>
      </c>
      <c r="FK2" s="351">
        <v>46997</v>
      </c>
      <c r="FL2" s="351">
        <v>47027</v>
      </c>
      <c r="FM2" s="351">
        <v>47058</v>
      </c>
      <c r="FN2" s="351">
        <v>47088</v>
      </c>
      <c r="FO2" s="351">
        <v>47119</v>
      </c>
      <c r="FP2" s="351">
        <v>47150</v>
      </c>
      <c r="FQ2" s="351">
        <v>47178</v>
      </c>
      <c r="FR2" s="351">
        <v>47209</v>
      </c>
      <c r="FS2" s="351">
        <v>47239</v>
      </c>
      <c r="FT2" s="351">
        <v>47270</v>
      </c>
      <c r="FU2" s="351">
        <v>47300</v>
      </c>
      <c r="FV2" s="351">
        <v>47331</v>
      </c>
      <c r="FW2" s="351">
        <v>47362</v>
      </c>
      <c r="FX2" s="351">
        <v>47392</v>
      </c>
      <c r="FY2" s="351">
        <v>47423</v>
      </c>
      <c r="FZ2" s="351">
        <v>47453</v>
      </c>
      <c r="GA2" s="351">
        <v>47484</v>
      </c>
      <c r="GB2" s="351">
        <v>47515</v>
      </c>
      <c r="GC2" s="351">
        <v>47543</v>
      </c>
      <c r="GD2" s="351">
        <v>47574</v>
      </c>
      <c r="GE2" s="351">
        <v>47604</v>
      </c>
      <c r="GF2" s="351">
        <v>47635</v>
      </c>
      <c r="GG2" s="351">
        <v>47665</v>
      </c>
      <c r="GH2" s="351">
        <v>47696</v>
      </c>
      <c r="GI2" s="351">
        <v>47727</v>
      </c>
      <c r="GJ2" s="351">
        <v>47757</v>
      </c>
      <c r="GK2" s="351">
        <v>47788</v>
      </c>
      <c r="GL2" s="351">
        <v>47818</v>
      </c>
      <c r="GM2" s="351">
        <v>47849</v>
      </c>
      <c r="GN2" s="351">
        <v>47880</v>
      </c>
      <c r="GO2" s="351">
        <v>47908</v>
      </c>
      <c r="GP2" s="351">
        <v>47939</v>
      </c>
      <c r="GQ2" s="351">
        <v>47969</v>
      </c>
      <c r="GR2" s="351">
        <v>48000</v>
      </c>
      <c r="GS2" s="351">
        <v>48030</v>
      </c>
      <c r="GT2" s="351">
        <v>48061</v>
      </c>
      <c r="GU2" s="351">
        <v>48092</v>
      </c>
      <c r="GV2" s="351">
        <v>48122</v>
      </c>
      <c r="GW2" s="351">
        <v>48153</v>
      </c>
      <c r="GX2" s="351">
        <v>48183</v>
      </c>
      <c r="GY2" s="351">
        <v>48214</v>
      </c>
      <c r="GZ2" s="351">
        <v>48245</v>
      </c>
      <c r="HA2" s="351">
        <v>48274</v>
      </c>
      <c r="HB2" s="351">
        <v>48305</v>
      </c>
      <c r="HC2" s="351">
        <v>48335</v>
      </c>
      <c r="HD2" s="351">
        <v>48366</v>
      </c>
      <c r="HE2" s="351">
        <v>48396</v>
      </c>
      <c r="HF2" s="351">
        <v>48427</v>
      </c>
      <c r="HG2" s="351">
        <v>48458</v>
      </c>
      <c r="HH2" s="351">
        <v>48488</v>
      </c>
      <c r="HI2" s="351">
        <v>48519</v>
      </c>
      <c r="HJ2" s="351">
        <v>48549</v>
      </c>
      <c r="HK2" s="351">
        <v>48580</v>
      </c>
      <c r="HL2" s="351">
        <v>48611</v>
      </c>
      <c r="HM2" s="351">
        <v>48639</v>
      </c>
      <c r="HN2" s="351">
        <v>48670</v>
      </c>
      <c r="HO2" s="351">
        <v>48700</v>
      </c>
      <c r="HP2" s="351">
        <v>48731</v>
      </c>
      <c r="HQ2" s="351">
        <v>48761</v>
      </c>
      <c r="HR2" s="351">
        <v>48792</v>
      </c>
      <c r="HS2" s="351">
        <v>48823</v>
      </c>
      <c r="HT2" s="351">
        <v>48853</v>
      </c>
      <c r="HU2" s="351">
        <v>48884</v>
      </c>
      <c r="HV2" s="351">
        <v>48914</v>
      </c>
      <c r="HW2" s="351">
        <v>48945</v>
      </c>
      <c r="HX2" s="351">
        <v>48976</v>
      </c>
      <c r="HY2" s="351">
        <v>49004</v>
      </c>
      <c r="HZ2" s="351">
        <v>49035</v>
      </c>
      <c r="IA2" s="351">
        <v>49065</v>
      </c>
      <c r="IB2" s="351">
        <v>49096</v>
      </c>
      <c r="IC2" s="351">
        <v>49126</v>
      </c>
      <c r="ID2" s="351">
        <v>49157</v>
      </c>
      <c r="IE2" s="351">
        <v>49188</v>
      </c>
      <c r="IF2" s="351">
        <v>49218</v>
      </c>
      <c r="IG2" s="351">
        <v>49249</v>
      </c>
      <c r="IH2" s="351">
        <v>49279</v>
      </c>
      <c r="II2" s="351">
        <v>49310</v>
      </c>
      <c r="IJ2" s="351">
        <v>49341</v>
      </c>
      <c r="IK2" s="351">
        <v>49369</v>
      </c>
      <c r="IL2" s="351">
        <v>49400</v>
      </c>
      <c r="IM2" s="351">
        <v>49430</v>
      </c>
      <c r="IN2" s="351">
        <v>49461</v>
      </c>
      <c r="IO2" s="351">
        <v>49491</v>
      </c>
      <c r="IP2" s="351">
        <v>49522</v>
      </c>
      <c r="IQ2" s="351">
        <v>49553</v>
      </c>
      <c r="IR2" s="351">
        <v>49583</v>
      </c>
      <c r="IS2" s="351">
        <v>49614</v>
      </c>
      <c r="IT2" s="351">
        <v>49644</v>
      </c>
      <c r="IU2" s="351">
        <v>49675</v>
      </c>
      <c r="IV2" s="351">
        <v>49706</v>
      </c>
      <c r="IW2" s="351">
        <v>49735</v>
      </c>
      <c r="IX2" s="351">
        <v>49766</v>
      </c>
      <c r="IY2" s="351">
        <v>49796</v>
      </c>
      <c r="IZ2" s="351">
        <v>49827</v>
      </c>
      <c r="JA2" s="351">
        <v>49857</v>
      </c>
      <c r="JB2" s="351">
        <v>49888</v>
      </c>
      <c r="JC2" s="351">
        <v>49919</v>
      </c>
      <c r="JD2" s="351">
        <v>49949</v>
      </c>
      <c r="JE2" s="351">
        <v>49980</v>
      </c>
      <c r="JF2" s="351">
        <v>50010</v>
      </c>
      <c r="JG2" s="351">
        <v>50041</v>
      </c>
      <c r="JH2" s="351">
        <v>50072</v>
      </c>
      <c r="JI2" s="351">
        <v>50100</v>
      </c>
      <c r="JJ2" s="351">
        <v>50131</v>
      </c>
      <c r="JK2" s="351">
        <v>50161</v>
      </c>
      <c r="JL2" s="351">
        <v>50192</v>
      </c>
      <c r="JM2" s="351">
        <v>50222</v>
      </c>
      <c r="JN2" s="351">
        <v>50253</v>
      </c>
      <c r="JO2" s="351">
        <v>50284</v>
      </c>
      <c r="JP2" s="351">
        <v>50314</v>
      </c>
      <c r="JQ2" s="351">
        <v>50345</v>
      </c>
      <c r="JR2" s="351">
        <v>50375</v>
      </c>
      <c r="JS2" s="351">
        <v>50406</v>
      </c>
      <c r="JT2" s="351">
        <v>50437</v>
      </c>
      <c r="JU2" s="351">
        <v>50465</v>
      </c>
      <c r="JV2" s="351">
        <v>50496</v>
      </c>
      <c r="JW2" s="351">
        <v>50526</v>
      </c>
      <c r="JX2" s="351">
        <v>50557</v>
      </c>
      <c r="JY2" s="351">
        <v>50587</v>
      </c>
      <c r="JZ2" s="351">
        <v>50618</v>
      </c>
      <c r="KA2" s="351">
        <v>50649</v>
      </c>
      <c r="KB2" s="351">
        <v>50679</v>
      </c>
      <c r="KC2" s="351">
        <v>50710</v>
      </c>
      <c r="KD2" s="351">
        <v>50740</v>
      </c>
      <c r="KE2" s="351">
        <v>50771</v>
      </c>
      <c r="KF2" s="351">
        <v>50802</v>
      </c>
      <c r="KG2" s="351">
        <v>50830</v>
      </c>
      <c r="KH2" s="351">
        <v>50861</v>
      </c>
      <c r="KI2" s="351">
        <v>50891</v>
      </c>
      <c r="KJ2" s="351">
        <v>50922</v>
      </c>
      <c r="KK2" s="351">
        <v>50952</v>
      </c>
      <c r="KL2" s="351">
        <v>50983</v>
      </c>
      <c r="KM2" s="351">
        <v>51014</v>
      </c>
      <c r="KN2" s="351">
        <v>51044</v>
      </c>
      <c r="KO2" s="351">
        <v>51075</v>
      </c>
      <c r="KP2" s="351">
        <v>51105</v>
      </c>
      <c r="KQ2" s="351">
        <v>51136</v>
      </c>
      <c r="KR2" s="351">
        <v>51167</v>
      </c>
      <c r="KS2" s="351">
        <v>51196</v>
      </c>
      <c r="KT2" s="351">
        <v>51227</v>
      </c>
      <c r="KU2" s="351">
        <v>51257</v>
      </c>
      <c r="KV2" s="351">
        <v>51288</v>
      </c>
      <c r="KW2" s="351">
        <v>51318</v>
      </c>
      <c r="KX2" s="351">
        <v>51349</v>
      </c>
      <c r="KY2" s="351">
        <v>51380</v>
      </c>
      <c r="KZ2" s="351">
        <v>51410</v>
      </c>
      <c r="LA2" s="351">
        <v>51441</v>
      </c>
      <c r="LB2" s="351">
        <v>51471</v>
      </c>
      <c r="LC2" s="351">
        <v>51502</v>
      </c>
      <c r="LD2" s="351">
        <v>51533</v>
      </c>
      <c r="LE2" s="351">
        <v>51561</v>
      </c>
      <c r="LF2" s="351">
        <v>51592</v>
      </c>
      <c r="LG2" s="351">
        <v>51622</v>
      </c>
      <c r="LH2" s="351">
        <v>51653</v>
      </c>
      <c r="LI2" s="351">
        <v>51683</v>
      </c>
      <c r="LJ2" s="351">
        <v>51714</v>
      </c>
      <c r="LK2" s="351">
        <v>51745</v>
      </c>
      <c r="LL2" s="351">
        <v>51775</v>
      </c>
      <c r="LM2" s="351">
        <v>51806</v>
      </c>
      <c r="LN2" s="351">
        <v>51836</v>
      </c>
      <c r="LO2" s="351">
        <v>51867</v>
      </c>
      <c r="LP2" s="351">
        <v>51898</v>
      </c>
      <c r="LQ2" s="351">
        <v>51926</v>
      </c>
      <c r="LR2" s="351">
        <v>51957</v>
      </c>
      <c r="LS2" s="351">
        <v>51987</v>
      </c>
      <c r="LT2" s="351">
        <v>52018</v>
      </c>
      <c r="LU2" s="351">
        <v>52048</v>
      </c>
      <c r="LV2" s="351">
        <v>52079</v>
      </c>
      <c r="LW2" s="351">
        <v>52110</v>
      </c>
      <c r="LX2" s="351">
        <v>52140</v>
      </c>
      <c r="LY2" s="351">
        <v>52171</v>
      </c>
      <c r="LZ2" s="351">
        <v>52201</v>
      </c>
      <c r="MA2" s="351">
        <v>52232</v>
      </c>
      <c r="MB2" s="351">
        <v>52263</v>
      </c>
      <c r="MC2" s="351">
        <v>52291</v>
      </c>
      <c r="MD2" s="351">
        <v>52322</v>
      </c>
      <c r="ME2" s="351">
        <v>52352</v>
      </c>
      <c r="MF2" s="351">
        <v>52383</v>
      </c>
      <c r="MG2" s="351">
        <v>52413</v>
      </c>
      <c r="MH2" s="351">
        <v>52444</v>
      </c>
      <c r="MI2" s="351">
        <v>52475</v>
      </c>
      <c r="MJ2" s="351">
        <v>52505</v>
      </c>
      <c r="MK2" s="351">
        <v>52536</v>
      </c>
      <c r="ML2" s="351">
        <v>52566</v>
      </c>
      <c r="MM2" s="351">
        <v>52597</v>
      </c>
      <c r="MN2" s="351">
        <v>52628</v>
      </c>
      <c r="MO2" s="351">
        <v>52657</v>
      </c>
      <c r="MP2" s="351">
        <v>52688</v>
      </c>
      <c r="MQ2" s="351">
        <v>52718</v>
      </c>
      <c r="MR2" s="351">
        <v>52749</v>
      </c>
      <c r="MS2" s="351">
        <v>52779</v>
      </c>
      <c r="MT2" s="351">
        <v>52810</v>
      </c>
      <c r="MU2" s="351">
        <v>52841</v>
      </c>
      <c r="MV2" s="351">
        <v>52871</v>
      </c>
      <c r="MW2" s="351">
        <v>52902</v>
      </c>
      <c r="MX2" s="351">
        <v>52932</v>
      </c>
      <c r="MY2" s="351">
        <v>52963</v>
      </c>
      <c r="MZ2" s="351">
        <v>52994</v>
      </c>
      <c r="NA2" s="351">
        <v>53022</v>
      </c>
      <c r="NB2" s="351">
        <v>53053</v>
      </c>
      <c r="NC2" s="351">
        <v>53083</v>
      </c>
      <c r="ND2" s="351">
        <v>53114</v>
      </c>
      <c r="NE2" s="351">
        <v>53144</v>
      </c>
      <c r="NF2" s="351">
        <v>53175</v>
      </c>
      <c r="NG2" s="351">
        <v>53206</v>
      </c>
      <c r="NH2" s="351">
        <v>53236</v>
      </c>
      <c r="NI2" s="351">
        <v>53267</v>
      </c>
      <c r="NJ2" s="351">
        <v>53297</v>
      </c>
      <c r="NK2" s="351">
        <v>53328</v>
      </c>
      <c r="NL2" s="351">
        <v>53359</v>
      </c>
      <c r="NM2" s="351">
        <v>53387</v>
      </c>
      <c r="NN2" s="351">
        <v>53418</v>
      </c>
      <c r="NO2" s="351">
        <v>53448</v>
      </c>
      <c r="NP2" s="351">
        <v>53479</v>
      </c>
      <c r="NQ2" s="351">
        <v>53509</v>
      </c>
      <c r="NR2" s="351">
        <v>53540</v>
      </c>
      <c r="NS2" s="351">
        <v>53571</v>
      </c>
      <c r="NT2" s="351">
        <v>53601</v>
      </c>
      <c r="NU2" s="351">
        <v>53632</v>
      </c>
      <c r="NV2" s="351">
        <v>53662</v>
      </c>
      <c r="NW2" s="351">
        <v>53693</v>
      </c>
      <c r="NX2" s="351">
        <v>53724</v>
      </c>
      <c r="NY2" s="351">
        <v>53752</v>
      </c>
      <c r="NZ2" s="351">
        <v>53783</v>
      </c>
      <c r="OA2" s="351">
        <v>53813</v>
      </c>
      <c r="OB2" s="351">
        <v>53844</v>
      </c>
      <c r="OC2" s="351">
        <v>53874</v>
      </c>
      <c r="OD2" s="351">
        <v>53905</v>
      </c>
      <c r="OE2" s="351">
        <v>53936</v>
      </c>
      <c r="OF2" s="351">
        <v>53966</v>
      </c>
      <c r="OG2" s="351">
        <v>53997</v>
      </c>
      <c r="OH2" s="351">
        <v>54027</v>
      </c>
      <c r="OI2" s="351">
        <v>54058</v>
      </c>
      <c r="OJ2" s="351">
        <v>54089</v>
      </c>
      <c r="OK2" s="351">
        <v>54118</v>
      </c>
      <c r="OL2" s="351">
        <v>54149</v>
      </c>
      <c r="OM2" s="351">
        <v>54179</v>
      </c>
      <c r="ON2" s="351">
        <v>54210</v>
      </c>
      <c r="OO2" s="351">
        <v>54240</v>
      </c>
      <c r="OP2" s="351">
        <v>54271</v>
      </c>
      <c r="OQ2" s="351">
        <v>54302</v>
      </c>
      <c r="OR2" s="351">
        <v>54332</v>
      </c>
      <c r="OS2" s="351">
        <v>54363</v>
      </c>
      <c r="OT2" s="351">
        <v>54393</v>
      </c>
      <c r="OU2" s="351">
        <v>54424</v>
      </c>
      <c r="OV2" s="351">
        <v>54455</v>
      </c>
      <c r="OW2" s="351">
        <v>54483</v>
      </c>
      <c r="OX2" s="351">
        <v>54514</v>
      </c>
      <c r="OY2" s="351">
        <v>54544</v>
      </c>
      <c r="OZ2" s="351">
        <v>54575</v>
      </c>
      <c r="PA2" s="351">
        <v>54605</v>
      </c>
      <c r="PB2" s="351">
        <v>54636</v>
      </c>
      <c r="PC2" s="351">
        <v>54667</v>
      </c>
      <c r="PD2" s="351">
        <v>54697</v>
      </c>
      <c r="PE2" s="351">
        <v>54728</v>
      </c>
      <c r="PF2" s="351">
        <v>54758</v>
      </c>
      <c r="PG2" s="351">
        <v>54789</v>
      </c>
      <c r="PH2" s="351">
        <v>54820</v>
      </c>
      <c r="PI2" s="351">
        <v>54848</v>
      </c>
      <c r="PJ2" s="351">
        <v>54879</v>
      </c>
      <c r="PK2" s="351">
        <v>54909</v>
      </c>
      <c r="PL2" s="351">
        <v>54940</v>
      </c>
      <c r="PM2" s="351">
        <v>54970</v>
      </c>
      <c r="PN2" s="351">
        <v>55001</v>
      </c>
      <c r="PO2" s="351">
        <v>55032</v>
      </c>
      <c r="PP2" s="351">
        <v>55062</v>
      </c>
      <c r="PQ2" s="351">
        <v>55093</v>
      </c>
      <c r="PR2" s="351">
        <v>55123</v>
      </c>
    </row>
    <row r="3" spans="2:1034" s="353" customFormat="1" x14ac:dyDescent="0.3">
      <c r="B3" s="349" t="s">
        <v>377</v>
      </c>
      <c r="C3" s="353">
        <v>0</v>
      </c>
      <c r="D3" s="353">
        <v>0.29339588200181438</v>
      </c>
      <c r="E3" s="353">
        <v>0.34373420523349241</v>
      </c>
      <c r="F3" s="353">
        <v>0</v>
      </c>
      <c r="G3" s="353">
        <v>0</v>
      </c>
      <c r="H3" s="353">
        <v>0</v>
      </c>
      <c r="I3" s="353">
        <v>0</v>
      </c>
      <c r="J3" s="353">
        <v>0.2260470687509884</v>
      </c>
      <c r="K3" s="353">
        <v>0.99999997332340629</v>
      </c>
      <c r="L3" s="353">
        <v>0.99999997332340629</v>
      </c>
      <c r="M3" s="353">
        <v>0</v>
      </c>
      <c r="N3" s="353">
        <v>0</v>
      </c>
      <c r="O3" s="353">
        <v>0.29339588200181438</v>
      </c>
      <c r="P3" s="353">
        <v>0</v>
      </c>
      <c r="Q3" s="353">
        <v>0</v>
      </c>
      <c r="R3" s="353">
        <v>0</v>
      </c>
      <c r="S3" s="353">
        <v>0</v>
      </c>
      <c r="T3" s="353">
        <v>0</v>
      </c>
      <c r="U3" s="353">
        <v>0</v>
      </c>
      <c r="V3" s="353">
        <v>0</v>
      </c>
      <c r="W3" s="353">
        <v>0.30328275225902729</v>
      </c>
      <c r="X3" s="353">
        <v>0</v>
      </c>
      <c r="Y3" s="353">
        <v>0</v>
      </c>
      <c r="Z3" s="353">
        <v>0</v>
      </c>
      <c r="AA3" s="353">
        <v>0.65626576808991388</v>
      </c>
      <c r="AB3" s="353">
        <v>0.77395290457241794</v>
      </c>
      <c r="AC3" s="353">
        <v>0</v>
      </c>
      <c r="AD3" s="353">
        <v>0</v>
      </c>
      <c r="AE3" s="353">
        <v>0</v>
      </c>
      <c r="AF3" s="353">
        <v>0</v>
      </c>
      <c r="AG3" s="353">
        <v>0</v>
      </c>
      <c r="AH3" s="353">
        <v>0</v>
      </c>
      <c r="AI3" s="353">
        <v>0</v>
      </c>
      <c r="AJ3" s="353">
        <v>0</v>
      </c>
      <c r="AK3" s="353">
        <v>0</v>
      </c>
      <c r="AL3" s="353">
        <v>0.69671722106437906</v>
      </c>
      <c r="AM3" s="353">
        <v>0.51944295075280278</v>
      </c>
      <c r="AN3" s="353">
        <v>0</v>
      </c>
      <c r="AO3" s="353">
        <v>0</v>
      </c>
      <c r="AP3" s="353">
        <v>0</v>
      </c>
      <c r="AQ3" s="353">
        <v>0</v>
      </c>
      <c r="AR3" s="353">
        <v>0</v>
      </c>
      <c r="AS3" s="353">
        <v>0</v>
      </c>
      <c r="AT3" s="353">
        <v>0</v>
      </c>
      <c r="AU3" s="353">
        <v>0</v>
      </c>
      <c r="AV3" s="353">
        <v>0</v>
      </c>
      <c r="AW3" s="353">
        <v>0</v>
      </c>
      <c r="AX3" s="353">
        <v>0.99999997332340629</v>
      </c>
      <c r="AY3" s="353">
        <v>0.29339588200181438</v>
      </c>
      <c r="AZ3" s="353">
        <v>0</v>
      </c>
      <c r="BA3" s="353">
        <v>0</v>
      </c>
      <c r="BB3" s="353">
        <v>0</v>
      </c>
      <c r="BC3" s="353">
        <v>0</v>
      </c>
      <c r="BD3" s="353">
        <v>0</v>
      </c>
      <c r="BE3" s="353">
        <v>0</v>
      </c>
      <c r="BF3" s="353">
        <v>0</v>
      </c>
      <c r="BG3" s="353">
        <v>0</v>
      </c>
      <c r="BH3" s="353">
        <v>0</v>
      </c>
      <c r="BI3" s="353">
        <v>0.83354003840149016</v>
      </c>
      <c r="BJ3" s="353">
        <v>0.99999997332340629</v>
      </c>
      <c r="BK3" s="353">
        <v>0</v>
      </c>
      <c r="BL3" s="353">
        <v>0</v>
      </c>
      <c r="BM3" s="353">
        <v>0</v>
      </c>
      <c r="BN3" s="353">
        <v>0</v>
      </c>
      <c r="BO3" s="353">
        <v>0</v>
      </c>
      <c r="BP3" s="353">
        <v>0</v>
      </c>
      <c r="BQ3" s="353">
        <v>0</v>
      </c>
      <c r="BR3" s="353">
        <v>0</v>
      </c>
      <c r="BS3" s="353">
        <v>0</v>
      </c>
      <c r="BT3" s="353">
        <v>0</v>
      </c>
      <c r="BU3" s="353">
        <v>0</v>
      </c>
      <c r="BV3" s="353">
        <v>0</v>
      </c>
      <c r="BW3" s="353">
        <v>0.69671722106437906</v>
      </c>
      <c r="BX3" s="353">
        <v>0</v>
      </c>
      <c r="BY3" s="353">
        <v>0</v>
      </c>
      <c r="BZ3" s="353">
        <v>0</v>
      </c>
      <c r="CA3" s="353">
        <v>0</v>
      </c>
      <c r="CB3" s="353">
        <v>0</v>
      </c>
      <c r="CC3" s="353">
        <v>0</v>
      </c>
      <c r="CD3" s="353">
        <v>0</v>
      </c>
      <c r="CE3" s="353">
        <v>0</v>
      </c>
      <c r="CF3" s="353">
        <v>0</v>
      </c>
      <c r="CG3" s="353">
        <v>0.48055702257060351</v>
      </c>
      <c r="CH3" s="353">
        <v>0.29339588200181438</v>
      </c>
      <c r="CI3" s="353">
        <v>0</v>
      </c>
      <c r="CJ3" s="353">
        <v>0</v>
      </c>
      <c r="CK3" s="353">
        <v>0</v>
      </c>
      <c r="CL3" s="353">
        <v>0.56978127398448075</v>
      </c>
      <c r="CM3" s="353">
        <v>0</v>
      </c>
      <c r="CN3" s="353">
        <v>0</v>
      </c>
      <c r="CO3" s="353">
        <v>0</v>
      </c>
      <c r="CP3" s="353">
        <v>0</v>
      </c>
      <c r="CQ3" s="353">
        <v>0</v>
      </c>
      <c r="CR3" s="353">
        <v>0</v>
      </c>
      <c r="CS3" s="353">
        <v>0.1368228173371111</v>
      </c>
      <c r="CT3" s="353">
        <v>0.83354003840149016</v>
      </c>
      <c r="CU3" s="353">
        <v>0.51944295075280278</v>
      </c>
      <c r="CV3" s="353">
        <v>0</v>
      </c>
      <c r="CW3" s="353">
        <v>0</v>
      </c>
      <c r="CX3" s="353">
        <v>0</v>
      </c>
      <c r="CY3" s="353">
        <v>0</v>
      </c>
      <c r="CZ3" s="353">
        <v>0</v>
      </c>
      <c r="DA3" s="353">
        <v>0</v>
      </c>
      <c r="DB3" s="353">
        <v>0</v>
      </c>
      <c r="DC3" s="353">
        <v>0</v>
      </c>
      <c r="DD3" s="353">
        <v>0.1368228173371111</v>
      </c>
      <c r="DE3" s="353">
        <v>0</v>
      </c>
      <c r="DF3" s="353">
        <v>0</v>
      </c>
      <c r="DG3" s="353">
        <v>0.29339588200181438</v>
      </c>
      <c r="DH3" s="353">
        <v>0</v>
      </c>
      <c r="DI3" s="353">
        <v>0</v>
      </c>
      <c r="DJ3" s="353">
        <v>0</v>
      </c>
      <c r="DK3" s="353">
        <v>0</v>
      </c>
      <c r="DL3" s="353">
        <v>0</v>
      </c>
      <c r="DM3" s="353">
        <v>0</v>
      </c>
      <c r="DN3" s="353">
        <v>0</v>
      </c>
      <c r="DO3" s="353">
        <v>0</v>
      </c>
      <c r="DP3" s="353">
        <v>0</v>
      </c>
      <c r="DQ3" s="353">
        <v>0.31409708764868732</v>
      </c>
      <c r="DR3" s="353">
        <v>0.99999997332340629</v>
      </c>
      <c r="DS3" s="353">
        <v>0.86317715598629519</v>
      </c>
      <c r="DT3" s="353">
        <v>0</v>
      </c>
      <c r="DU3" s="353">
        <v>0</v>
      </c>
      <c r="DV3" s="353">
        <v>0.83354003840149016</v>
      </c>
      <c r="DW3" s="353">
        <v>0</v>
      </c>
      <c r="DX3" s="353">
        <v>0</v>
      </c>
      <c r="DY3" s="353">
        <v>0</v>
      </c>
      <c r="DZ3" s="353">
        <v>0.99999997332340629</v>
      </c>
      <c r="EA3" s="353">
        <v>0</v>
      </c>
      <c r="EB3" s="353">
        <v>0.99999997332340629</v>
      </c>
      <c r="EC3" s="353">
        <v>0.70660409132159185</v>
      </c>
      <c r="ED3" s="353">
        <v>0</v>
      </c>
      <c r="EE3" s="353">
        <v>0.86317715598629519</v>
      </c>
      <c r="EF3" s="353">
        <v>0.99999997332340629</v>
      </c>
      <c r="EG3" s="353">
        <v>0</v>
      </c>
      <c r="EH3" s="353">
        <v>0</v>
      </c>
      <c r="EI3" s="353">
        <v>0</v>
      </c>
      <c r="EJ3" s="353">
        <v>0</v>
      </c>
      <c r="EK3" s="353">
        <v>0</v>
      </c>
      <c r="EL3" s="353">
        <v>0</v>
      </c>
      <c r="EM3" s="353">
        <v>0</v>
      </c>
      <c r="EN3" s="353">
        <v>0.2260470687509884</v>
      </c>
      <c r="EO3" s="353">
        <v>0.16645993492191619</v>
      </c>
      <c r="EP3" s="353">
        <v>0</v>
      </c>
      <c r="EQ3" s="353">
        <v>0.99999997332340629</v>
      </c>
      <c r="ER3" s="353">
        <v>0</v>
      </c>
      <c r="ES3" s="353">
        <v>0.43021869933892548</v>
      </c>
      <c r="ET3" s="353">
        <v>0</v>
      </c>
      <c r="EU3" s="353">
        <v>0</v>
      </c>
      <c r="EV3" s="353">
        <v>0</v>
      </c>
      <c r="EW3" s="353">
        <v>0</v>
      </c>
      <c r="EX3" s="353">
        <v>0</v>
      </c>
      <c r="EY3" s="353">
        <v>0.52932982101001569</v>
      </c>
      <c r="EZ3" s="353">
        <v>0</v>
      </c>
      <c r="FA3" s="353">
        <v>0</v>
      </c>
      <c r="FB3" s="353">
        <v>0</v>
      </c>
      <c r="FC3" s="353">
        <v>0.29339588200181438</v>
      </c>
      <c r="FD3" s="353">
        <v>0</v>
      </c>
      <c r="FE3" s="353">
        <v>0</v>
      </c>
      <c r="FF3" s="353">
        <v>0</v>
      </c>
      <c r="FG3" s="353">
        <v>0</v>
      </c>
      <c r="FH3" s="353">
        <v>0</v>
      </c>
      <c r="FI3" s="353">
        <v>0</v>
      </c>
      <c r="FJ3" s="353">
        <v>0</v>
      </c>
      <c r="FK3" s="353">
        <v>0</v>
      </c>
      <c r="FL3" s="353">
        <v>0</v>
      </c>
      <c r="FM3" s="353">
        <v>0.99999997332340629</v>
      </c>
      <c r="FN3" s="353">
        <v>0.47067015231339071</v>
      </c>
      <c r="FO3" s="353">
        <v>0</v>
      </c>
      <c r="FP3" s="353">
        <v>0</v>
      </c>
      <c r="FQ3" s="353">
        <v>0</v>
      </c>
      <c r="FR3" s="353">
        <v>0</v>
      </c>
      <c r="FS3" s="353">
        <v>0</v>
      </c>
      <c r="FT3" s="353">
        <v>0</v>
      </c>
      <c r="FU3" s="353">
        <v>0</v>
      </c>
      <c r="FV3" s="353">
        <v>0</v>
      </c>
      <c r="FW3" s="353">
        <v>0</v>
      </c>
      <c r="FX3" s="353">
        <v>0</v>
      </c>
      <c r="FY3" s="353">
        <v>0</v>
      </c>
      <c r="FZ3" s="353">
        <v>0.99999997332340629</v>
      </c>
      <c r="GA3" s="353">
        <v>0.29339588200181438</v>
      </c>
      <c r="GB3" s="353">
        <v>0.51944295075280278</v>
      </c>
      <c r="GC3" s="353">
        <v>0</v>
      </c>
      <c r="GD3" s="353">
        <v>0.16645993492191619</v>
      </c>
      <c r="GE3" s="353">
        <v>0</v>
      </c>
      <c r="GF3" s="353">
        <v>0</v>
      </c>
      <c r="GG3" s="353">
        <v>0</v>
      </c>
      <c r="GH3" s="353">
        <v>0.2260470687509884</v>
      </c>
      <c r="GI3" s="353">
        <v>0.56978127398448075</v>
      </c>
      <c r="GJ3" s="353">
        <v>0.52932982101001569</v>
      </c>
      <c r="GK3" s="353">
        <v>0</v>
      </c>
      <c r="GL3" s="353">
        <v>0</v>
      </c>
      <c r="GM3" s="353">
        <v>0.99999997332340629</v>
      </c>
      <c r="GN3" s="353">
        <v>0</v>
      </c>
      <c r="GO3" s="353">
        <v>0.1368228173371111</v>
      </c>
      <c r="GP3" s="353">
        <v>0</v>
      </c>
      <c r="GQ3" s="353">
        <v>0</v>
      </c>
      <c r="GR3" s="353">
        <v>0</v>
      </c>
      <c r="GS3" s="353">
        <v>0</v>
      </c>
      <c r="GT3" s="353">
        <v>0</v>
      </c>
      <c r="GU3" s="353">
        <v>0.2260470687509884</v>
      </c>
      <c r="GV3" s="353">
        <v>0.52932982101001569</v>
      </c>
      <c r="GW3" s="353">
        <v>0</v>
      </c>
      <c r="GX3" s="353">
        <v>0</v>
      </c>
      <c r="GY3" s="353">
        <v>0</v>
      </c>
      <c r="GZ3" s="353">
        <v>0</v>
      </c>
      <c r="HA3" s="353">
        <v>0</v>
      </c>
      <c r="HB3" s="353">
        <v>0</v>
      </c>
      <c r="HC3" s="353">
        <v>0.1368228173371111</v>
      </c>
      <c r="HD3" s="353">
        <v>0</v>
      </c>
      <c r="HE3" s="353">
        <v>0</v>
      </c>
      <c r="HF3" s="353">
        <v>0</v>
      </c>
      <c r="HG3" s="353">
        <v>0</v>
      </c>
      <c r="HH3" s="353">
        <v>0</v>
      </c>
      <c r="HI3" s="353">
        <v>0.3628698860880995</v>
      </c>
      <c r="HJ3" s="353">
        <v>0.99999997332340629</v>
      </c>
      <c r="HK3" s="353">
        <v>0</v>
      </c>
      <c r="HL3" s="353">
        <v>0</v>
      </c>
      <c r="HM3" s="353">
        <v>0</v>
      </c>
      <c r="HN3" s="353">
        <v>0.31409708764868732</v>
      </c>
      <c r="HO3" s="353">
        <v>0</v>
      </c>
      <c r="HP3" s="353">
        <v>0</v>
      </c>
      <c r="HQ3" s="353">
        <v>0</v>
      </c>
      <c r="HR3" s="353">
        <v>0</v>
      </c>
      <c r="HS3" s="353">
        <v>0</v>
      </c>
      <c r="HT3" s="353">
        <v>0</v>
      </c>
      <c r="HU3" s="353">
        <v>0.16645993492191619</v>
      </c>
      <c r="HV3" s="353">
        <v>0</v>
      </c>
      <c r="HW3" s="353">
        <v>0</v>
      </c>
      <c r="HX3" s="353">
        <v>0</v>
      </c>
      <c r="HY3" s="353">
        <v>0</v>
      </c>
      <c r="HZ3" s="353">
        <v>0</v>
      </c>
      <c r="IA3" s="353">
        <v>0</v>
      </c>
      <c r="IB3" s="353">
        <v>0</v>
      </c>
      <c r="IC3" s="353">
        <v>0</v>
      </c>
      <c r="ID3" s="353">
        <v>0</v>
      </c>
      <c r="IE3" s="353">
        <v>0</v>
      </c>
      <c r="IF3" s="353">
        <v>0</v>
      </c>
      <c r="IG3" s="353">
        <v>0.99999997332340629</v>
      </c>
      <c r="IH3" s="353">
        <v>0.2260470687509884</v>
      </c>
      <c r="II3" s="353">
        <v>0</v>
      </c>
      <c r="IJ3" s="353">
        <v>0.99999997332340629</v>
      </c>
      <c r="IK3" s="353">
        <v>0</v>
      </c>
      <c r="IL3" s="353">
        <v>0</v>
      </c>
      <c r="IM3" s="353">
        <v>0</v>
      </c>
      <c r="IN3" s="353">
        <v>0</v>
      </c>
      <c r="IO3" s="353">
        <v>0</v>
      </c>
      <c r="IP3" s="353">
        <v>0.39250700367290448</v>
      </c>
      <c r="IQ3" s="353">
        <v>0.39250700367290448</v>
      </c>
      <c r="IR3" s="353">
        <v>0</v>
      </c>
      <c r="IS3" s="353">
        <v>0</v>
      </c>
      <c r="IT3" s="353">
        <v>0.99999997332340629</v>
      </c>
      <c r="IU3" s="353">
        <v>0.86317715598629519</v>
      </c>
      <c r="IV3" s="353">
        <v>0</v>
      </c>
      <c r="IW3" s="353">
        <v>0</v>
      </c>
      <c r="IX3" s="353">
        <v>0</v>
      </c>
      <c r="IY3" s="353">
        <v>0</v>
      </c>
      <c r="IZ3" s="353">
        <v>0</v>
      </c>
      <c r="JA3" s="353">
        <v>0</v>
      </c>
      <c r="JB3" s="353">
        <v>0</v>
      </c>
      <c r="JC3" s="353">
        <v>0.16645993492191619</v>
      </c>
      <c r="JD3" s="353">
        <v>0.54014415639967572</v>
      </c>
      <c r="JE3" s="353">
        <v>0</v>
      </c>
      <c r="JF3" s="353">
        <v>0</v>
      </c>
      <c r="JG3" s="353">
        <v>0.99999997332340629</v>
      </c>
      <c r="JH3" s="353">
        <v>0</v>
      </c>
      <c r="JI3" s="353">
        <v>0</v>
      </c>
      <c r="JJ3" s="353">
        <v>0</v>
      </c>
      <c r="JK3" s="353">
        <v>0</v>
      </c>
      <c r="JL3" s="353">
        <v>0</v>
      </c>
      <c r="JM3" s="353">
        <v>0</v>
      </c>
      <c r="JN3" s="353">
        <v>0</v>
      </c>
      <c r="JO3" s="353">
        <v>0.70660409132159185</v>
      </c>
      <c r="JP3" s="353">
        <v>0</v>
      </c>
      <c r="JQ3" s="353">
        <v>0</v>
      </c>
      <c r="JR3" s="354">
        <v>0.17727427031157619</v>
      </c>
      <c r="JS3" s="353">
        <v>0</v>
      </c>
      <c r="JT3" s="353">
        <v>0</v>
      </c>
      <c r="JU3" s="353">
        <v>0</v>
      </c>
      <c r="JV3" s="353">
        <v>0</v>
      </c>
      <c r="JW3" s="353">
        <v>0</v>
      </c>
      <c r="JX3" s="353">
        <v>0</v>
      </c>
      <c r="JY3" s="353">
        <v>0</v>
      </c>
      <c r="JZ3" s="353">
        <v>0.30328275225902729</v>
      </c>
      <c r="KA3" s="353">
        <v>0</v>
      </c>
      <c r="KB3" s="353">
        <v>0</v>
      </c>
      <c r="KC3" s="353">
        <v>0.70660409132159185</v>
      </c>
      <c r="KD3" s="353">
        <v>0</v>
      </c>
      <c r="KE3" s="353">
        <v>0.29339588200181438</v>
      </c>
      <c r="KF3" s="353">
        <v>0</v>
      </c>
      <c r="KG3" s="353">
        <v>0</v>
      </c>
      <c r="KH3" s="353">
        <v>0</v>
      </c>
      <c r="KI3" s="353">
        <v>0</v>
      </c>
      <c r="KJ3" s="353">
        <v>0</v>
      </c>
      <c r="KK3" s="353">
        <v>0</v>
      </c>
      <c r="KL3" s="353">
        <v>0</v>
      </c>
      <c r="KM3" s="353">
        <v>0</v>
      </c>
      <c r="KN3" s="353">
        <v>0</v>
      </c>
      <c r="KO3" s="353">
        <v>0</v>
      </c>
      <c r="KP3" s="353">
        <v>0.99999997332340629</v>
      </c>
      <c r="KQ3" s="353">
        <v>0</v>
      </c>
      <c r="KR3" s="353">
        <v>0</v>
      </c>
      <c r="KS3" s="353">
        <v>0</v>
      </c>
      <c r="KT3" s="353">
        <v>0</v>
      </c>
      <c r="KU3" s="353">
        <v>0</v>
      </c>
      <c r="KV3" s="353">
        <v>0</v>
      </c>
      <c r="KW3" s="353">
        <v>0</v>
      </c>
      <c r="KX3" s="353">
        <v>0</v>
      </c>
      <c r="KY3" s="353">
        <v>0</v>
      </c>
      <c r="KZ3" s="353">
        <v>0.2260470687509884</v>
      </c>
      <c r="LA3" s="353">
        <v>0</v>
      </c>
      <c r="LB3" s="353">
        <v>0.86317715598629519</v>
      </c>
      <c r="LC3" s="353">
        <v>0.29339588200181438</v>
      </c>
      <c r="LD3" s="353">
        <v>0</v>
      </c>
      <c r="LE3" s="353">
        <v>0</v>
      </c>
      <c r="LF3" s="353">
        <v>0</v>
      </c>
      <c r="LG3" s="353">
        <v>0</v>
      </c>
      <c r="LH3" s="353">
        <v>0</v>
      </c>
      <c r="LI3" s="353">
        <v>0</v>
      </c>
      <c r="LJ3" s="353">
        <v>0</v>
      </c>
      <c r="LK3" s="353">
        <v>0</v>
      </c>
      <c r="LL3" s="353">
        <v>0</v>
      </c>
      <c r="LM3" s="353">
        <v>0</v>
      </c>
      <c r="LN3" s="353">
        <v>0.99999997332340629</v>
      </c>
      <c r="LO3" s="353">
        <v>0.99999997332340629</v>
      </c>
      <c r="LP3" s="353">
        <v>0</v>
      </c>
      <c r="LQ3" s="353">
        <v>0</v>
      </c>
      <c r="LR3" s="353">
        <v>0</v>
      </c>
      <c r="LS3" s="353">
        <v>0</v>
      </c>
      <c r="LT3" s="353">
        <v>0</v>
      </c>
      <c r="LU3" s="353">
        <v>0</v>
      </c>
      <c r="LV3" s="353">
        <v>0</v>
      </c>
      <c r="LW3" s="353">
        <v>0.86317715598629519</v>
      </c>
      <c r="LX3" s="353">
        <v>0.52932982101001569</v>
      </c>
      <c r="LY3" s="353">
        <v>0.2260470687509884</v>
      </c>
      <c r="LZ3" s="353">
        <v>0</v>
      </c>
      <c r="MA3" s="353">
        <v>0.29339588200181438</v>
      </c>
      <c r="MB3" s="353">
        <v>0</v>
      </c>
      <c r="MC3" s="353">
        <v>0</v>
      </c>
      <c r="MD3" s="353">
        <v>0</v>
      </c>
      <c r="ME3" s="353">
        <v>0</v>
      </c>
      <c r="MF3" s="353">
        <v>0</v>
      </c>
      <c r="MG3" s="353">
        <v>0</v>
      </c>
      <c r="MH3" s="353">
        <v>0</v>
      </c>
      <c r="MI3" s="353">
        <v>0.99999997332340629</v>
      </c>
      <c r="MJ3" s="353">
        <v>0</v>
      </c>
      <c r="MK3" s="353">
        <v>0.16645993492191619</v>
      </c>
      <c r="ML3" s="353">
        <v>0</v>
      </c>
      <c r="MM3" s="353">
        <v>0.69671722106437906</v>
      </c>
      <c r="MN3" s="353">
        <v>0</v>
      </c>
      <c r="MO3" s="353">
        <v>0</v>
      </c>
      <c r="MP3" s="353">
        <v>0</v>
      </c>
      <c r="MQ3" s="353">
        <v>0</v>
      </c>
      <c r="MR3" s="353">
        <v>0</v>
      </c>
      <c r="MS3" s="353">
        <v>0</v>
      </c>
      <c r="MT3" s="353">
        <v>0</v>
      </c>
      <c r="MU3" s="353">
        <v>0.40332133906256462</v>
      </c>
      <c r="MV3" s="353">
        <v>0</v>
      </c>
      <c r="MW3" s="353">
        <v>0</v>
      </c>
      <c r="MX3" s="353">
        <v>0</v>
      </c>
      <c r="MY3" s="353">
        <v>0</v>
      </c>
      <c r="MZ3" s="353">
        <v>0</v>
      </c>
      <c r="NA3" s="353">
        <v>0</v>
      </c>
      <c r="NB3" s="353">
        <v>0</v>
      </c>
      <c r="NC3" s="353">
        <v>0</v>
      </c>
      <c r="ND3" s="353">
        <v>0</v>
      </c>
      <c r="NE3" s="353">
        <v>0</v>
      </c>
      <c r="NF3" s="353">
        <v>0</v>
      </c>
      <c r="NG3" s="353">
        <v>0</v>
      </c>
      <c r="NH3" s="353">
        <v>0</v>
      </c>
      <c r="NI3" s="353">
        <v>0.2260470687509884</v>
      </c>
      <c r="NJ3" s="353">
        <v>0</v>
      </c>
      <c r="NK3" s="353">
        <v>0</v>
      </c>
      <c r="NL3" s="353">
        <v>0</v>
      </c>
      <c r="NM3" s="353">
        <v>0</v>
      </c>
      <c r="NN3" s="353">
        <v>0.1368228173371111</v>
      </c>
      <c r="NO3" s="353">
        <v>0</v>
      </c>
      <c r="NP3" s="353">
        <v>0</v>
      </c>
      <c r="NQ3" s="353">
        <v>0</v>
      </c>
      <c r="NR3" s="353">
        <v>0</v>
      </c>
      <c r="NS3" s="353">
        <v>0</v>
      </c>
      <c r="NT3" s="353">
        <v>0</v>
      </c>
      <c r="NU3" s="353">
        <v>0.86317715598629519</v>
      </c>
      <c r="NV3" s="353">
        <v>0.86317715598629519</v>
      </c>
      <c r="NW3" s="353">
        <v>0.68590288567471902</v>
      </c>
      <c r="NX3" s="353">
        <v>0</v>
      </c>
      <c r="NY3" s="353">
        <v>0</v>
      </c>
      <c r="NZ3" s="353">
        <v>0</v>
      </c>
      <c r="OA3" s="353">
        <v>0</v>
      </c>
      <c r="OB3" s="353">
        <v>0</v>
      </c>
      <c r="OC3" s="353">
        <v>0</v>
      </c>
      <c r="OD3" s="353">
        <v>0.2260470687509884</v>
      </c>
      <c r="OE3" s="353">
        <v>0.99999997332340629</v>
      </c>
      <c r="OF3" s="353">
        <v>0</v>
      </c>
      <c r="OG3" s="353">
        <v>0</v>
      </c>
      <c r="OH3" s="353">
        <v>0</v>
      </c>
      <c r="OI3" s="353">
        <v>0</v>
      </c>
      <c r="OJ3" s="353">
        <v>0</v>
      </c>
      <c r="OK3" s="353">
        <v>0</v>
      </c>
      <c r="OL3" s="353">
        <v>0</v>
      </c>
      <c r="OM3" s="353">
        <v>0</v>
      </c>
      <c r="ON3" s="353">
        <v>0</v>
      </c>
      <c r="OO3" s="353">
        <v>0</v>
      </c>
      <c r="OP3" s="353">
        <v>0</v>
      </c>
      <c r="OQ3" s="353">
        <v>0</v>
      </c>
      <c r="OR3" s="353">
        <v>0</v>
      </c>
      <c r="OS3" s="353">
        <v>0</v>
      </c>
      <c r="OT3" s="353">
        <v>0</v>
      </c>
      <c r="OU3" s="353">
        <v>0</v>
      </c>
      <c r="OV3" s="353">
        <v>0</v>
      </c>
      <c r="OW3" s="353">
        <v>0</v>
      </c>
      <c r="OX3" s="353">
        <v>0</v>
      </c>
      <c r="OY3" s="353">
        <v>0</v>
      </c>
      <c r="OZ3" s="353">
        <v>0</v>
      </c>
      <c r="PA3" s="353">
        <v>0</v>
      </c>
      <c r="PB3" s="353">
        <v>0</v>
      </c>
      <c r="PC3" s="353">
        <v>0</v>
      </c>
      <c r="PD3" s="353">
        <v>0</v>
      </c>
      <c r="PE3" s="353">
        <v>0</v>
      </c>
      <c r="PF3" s="353">
        <v>0.47067015231339071</v>
      </c>
      <c r="PG3" s="353">
        <v>0.29339588200181438</v>
      </c>
      <c r="PH3" s="353">
        <v>0</v>
      </c>
      <c r="PI3" s="353">
        <v>0</v>
      </c>
      <c r="PJ3" s="353">
        <v>0</v>
      </c>
      <c r="PK3" s="353">
        <v>0</v>
      </c>
      <c r="PL3" s="353">
        <v>0</v>
      </c>
      <c r="PM3" s="353">
        <v>0</v>
      </c>
      <c r="PN3" s="353">
        <v>0</v>
      </c>
      <c r="PO3" s="353">
        <v>0</v>
      </c>
      <c r="PP3" s="353">
        <v>0</v>
      </c>
      <c r="PQ3" s="353">
        <v>0</v>
      </c>
      <c r="PR3" s="353">
        <v>0.17727427031157619</v>
      </c>
      <c r="PS3" s="353">
        <v>0</v>
      </c>
      <c r="PT3" s="353">
        <v>0</v>
      </c>
      <c r="PU3" s="353">
        <v>0</v>
      </c>
      <c r="PV3" s="353">
        <v>0</v>
      </c>
      <c r="PW3" s="353">
        <v>0</v>
      </c>
      <c r="PX3" s="353">
        <v>0</v>
      </c>
      <c r="PY3" s="353">
        <v>0</v>
      </c>
      <c r="PZ3" s="353">
        <v>0</v>
      </c>
      <c r="QA3" s="353">
        <v>0.70660409132159185</v>
      </c>
      <c r="QB3" s="353">
        <v>0</v>
      </c>
      <c r="QC3" s="353">
        <v>0</v>
      </c>
      <c r="QD3" s="353">
        <v>0</v>
      </c>
      <c r="QE3" s="353">
        <v>0.99999997332340629</v>
      </c>
      <c r="QF3" s="353">
        <v>0</v>
      </c>
      <c r="QG3" s="353">
        <v>0</v>
      </c>
      <c r="QH3" s="353">
        <v>0</v>
      </c>
      <c r="QI3" s="353">
        <v>0</v>
      </c>
      <c r="QJ3" s="353">
        <v>0</v>
      </c>
      <c r="QK3" s="353">
        <v>0</v>
      </c>
      <c r="QL3" s="353">
        <v>0</v>
      </c>
      <c r="QM3" s="353">
        <v>0</v>
      </c>
      <c r="QN3" s="353">
        <v>0</v>
      </c>
      <c r="QO3" s="353">
        <v>0.70660409132159185</v>
      </c>
      <c r="QP3" s="353">
        <v>0.47067015231339071</v>
      </c>
      <c r="QQ3" s="353">
        <v>0</v>
      </c>
      <c r="QR3" s="353">
        <v>0</v>
      </c>
      <c r="QS3" s="353">
        <v>0</v>
      </c>
      <c r="QT3" s="353">
        <v>0.1368228173371111</v>
      </c>
      <c r="QU3" s="353">
        <v>0</v>
      </c>
      <c r="QV3" s="353">
        <v>0</v>
      </c>
      <c r="QW3" s="353">
        <v>0</v>
      </c>
      <c r="QX3" s="353">
        <v>0</v>
      </c>
      <c r="QY3" s="353">
        <v>0</v>
      </c>
      <c r="QZ3" s="353">
        <v>0.2260470687509884</v>
      </c>
      <c r="RA3" s="353">
        <v>0</v>
      </c>
      <c r="RB3" s="353">
        <v>0.29339588200181438</v>
      </c>
      <c r="RC3" s="353">
        <v>0.99999997332340629</v>
      </c>
      <c r="RD3" s="353">
        <v>0</v>
      </c>
      <c r="RE3" s="353">
        <v>0</v>
      </c>
      <c r="RF3" s="353">
        <v>0</v>
      </c>
      <c r="RG3" s="353">
        <v>0</v>
      </c>
      <c r="RH3" s="353">
        <v>0</v>
      </c>
      <c r="RI3" s="353">
        <v>0</v>
      </c>
      <c r="RJ3" s="353">
        <v>0</v>
      </c>
      <c r="RK3" s="353">
        <v>0.1368228173371111</v>
      </c>
      <c r="RL3" s="353">
        <v>0</v>
      </c>
      <c r="RM3" s="353">
        <v>0</v>
      </c>
      <c r="RN3" s="353">
        <v>0.17727427031157619</v>
      </c>
      <c r="RO3" s="353">
        <v>0.68590288567471902</v>
      </c>
      <c r="RP3" s="353">
        <v>0</v>
      </c>
      <c r="RQ3" s="353">
        <v>0</v>
      </c>
      <c r="RR3" s="353">
        <v>0</v>
      </c>
      <c r="RS3" s="353">
        <v>0</v>
      </c>
      <c r="RT3" s="353">
        <v>0</v>
      </c>
      <c r="RU3" s="353">
        <v>0</v>
      </c>
      <c r="RV3" s="353">
        <v>0</v>
      </c>
      <c r="RW3" s="353">
        <v>0</v>
      </c>
      <c r="RX3" s="353">
        <v>0</v>
      </c>
      <c r="RY3" s="353">
        <v>0</v>
      </c>
      <c r="RZ3" s="353">
        <v>0</v>
      </c>
      <c r="SA3" s="353">
        <v>0</v>
      </c>
      <c r="SB3" s="353">
        <v>0</v>
      </c>
      <c r="SC3" s="353">
        <v>0.30328275225902729</v>
      </c>
      <c r="SD3" s="353">
        <v>0</v>
      </c>
      <c r="SE3" s="353">
        <v>0</v>
      </c>
      <c r="SF3" s="353">
        <v>0</v>
      </c>
      <c r="SG3" s="353">
        <v>0</v>
      </c>
      <c r="SH3" s="353">
        <v>0</v>
      </c>
      <c r="SI3" s="353">
        <v>0</v>
      </c>
      <c r="SJ3" s="353">
        <v>0.2260470687509884</v>
      </c>
      <c r="SK3" s="353">
        <v>0</v>
      </c>
      <c r="SL3" s="353">
        <v>0.86317715598629519</v>
      </c>
      <c r="SM3" s="353">
        <v>0</v>
      </c>
      <c r="SN3" s="353">
        <v>0.69671722106437906</v>
      </c>
      <c r="SO3" s="353">
        <v>0</v>
      </c>
      <c r="SP3" s="353">
        <v>0.77395290457241794</v>
      </c>
      <c r="SQ3" s="353">
        <v>0</v>
      </c>
      <c r="SR3" s="353">
        <v>0</v>
      </c>
      <c r="SS3" s="353">
        <v>0</v>
      </c>
      <c r="ST3" s="353">
        <v>0</v>
      </c>
      <c r="SU3" s="353">
        <v>0</v>
      </c>
      <c r="SV3" s="353">
        <v>0.2260470687509884</v>
      </c>
      <c r="SW3" s="353">
        <v>0.70660409132159185</v>
      </c>
      <c r="SX3" s="353">
        <v>0.99999997332340629</v>
      </c>
      <c r="SY3" s="353">
        <v>0</v>
      </c>
      <c r="SZ3" s="353">
        <v>0</v>
      </c>
      <c r="TA3" s="353">
        <v>0</v>
      </c>
      <c r="TB3" s="353">
        <v>0</v>
      </c>
      <c r="TC3" s="353">
        <v>0</v>
      </c>
      <c r="TD3" s="353">
        <v>0</v>
      </c>
      <c r="TE3" s="353">
        <v>0</v>
      </c>
      <c r="TF3" s="353">
        <v>0.70660409132159185</v>
      </c>
      <c r="TG3" s="353">
        <v>0</v>
      </c>
      <c r="TH3" s="353">
        <v>0</v>
      </c>
      <c r="TI3" s="353">
        <v>0</v>
      </c>
      <c r="TJ3" s="353">
        <v>0.77395290457241794</v>
      </c>
      <c r="TK3" s="353">
        <v>0</v>
      </c>
      <c r="TL3" s="353">
        <v>0</v>
      </c>
      <c r="TM3" s="353">
        <v>0</v>
      </c>
      <c r="TN3" s="353">
        <v>0</v>
      </c>
      <c r="TO3" s="353">
        <v>0</v>
      </c>
      <c r="TP3" s="353">
        <v>0</v>
      </c>
      <c r="TQ3" s="353">
        <v>0</v>
      </c>
      <c r="TR3" s="353">
        <v>0</v>
      </c>
      <c r="TS3" s="353">
        <v>0</v>
      </c>
      <c r="TT3" s="353">
        <v>0</v>
      </c>
      <c r="TU3" s="353">
        <v>0</v>
      </c>
      <c r="TV3" s="353">
        <v>0.86317715598629519</v>
      </c>
      <c r="TW3" s="353">
        <v>0</v>
      </c>
      <c r="TX3" s="353">
        <v>0.51944295075280278</v>
      </c>
      <c r="TY3" s="353">
        <v>0</v>
      </c>
      <c r="TZ3" s="353">
        <v>0</v>
      </c>
      <c r="UA3" s="353">
        <v>0</v>
      </c>
      <c r="UB3" s="353">
        <v>0</v>
      </c>
      <c r="UC3" s="353">
        <v>0</v>
      </c>
      <c r="UD3" s="353">
        <v>0</v>
      </c>
      <c r="UE3" s="353">
        <v>0</v>
      </c>
      <c r="UF3" s="353">
        <v>0</v>
      </c>
      <c r="UG3" s="353">
        <v>0.99999997332340629</v>
      </c>
      <c r="UH3" s="353">
        <v>0.99999997332340629</v>
      </c>
      <c r="UI3" s="353">
        <v>0.99999997332340629</v>
      </c>
      <c r="UJ3" s="353">
        <v>0.16645993492191619</v>
      </c>
      <c r="UK3" s="353">
        <v>0</v>
      </c>
      <c r="UL3" s="353">
        <v>0</v>
      </c>
      <c r="UM3" s="353">
        <v>0</v>
      </c>
      <c r="UN3" s="353">
        <v>0</v>
      </c>
      <c r="UO3" s="353">
        <v>0</v>
      </c>
      <c r="UP3" s="353">
        <v>0.77395290457241794</v>
      </c>
      <c r="UQ3" s="353">
        <v>0.70660409132159185</v>
      </c>
      <c r="UR3" s="353">
        <v>0</v>
      </c>
      <c r="US3" s="353">
        <v>0.70660409132159185</v>
      </c>
      <c r="UT3" s="353">
        <v>0.51944295075280278</v>
      </c>
      <c r="UU3" s="353">
        <v>0.51944295075280278</v>
      </c>
      <c r="UV3" s="353">
        <v>0</v>
      </c>
      <c r="UW3" s="353">
        <v>0</v>
      </c>
      <c r="UX3" s="353">
        <v>0</v>
      </c>
      <c r="UY3" s="353">
        <v>0</v>
      </c>
      <c r="UZ3" s="353">
        <v>0</v>
      </c>
      <c r="VA3" s="353">
        <v>0</v>
      </c>
      <c r="VB3" s="353">
        <v>0</v>
      </c>
      <c r="VC3" s="353">
        <v>0.70660409132159185</v>
      </c>
      <c r="VD3" s="353">
        <v>0</v>
      </c>
      <c r="VE3" s="353">
        <v>0</v>
      </c>
      <c r="VF3" s="353">
        <v>0</v>
      </c>
      <c r="VG3" s="353">
        <v>0</v>
      </c>
      <c r="VH3" s="353">
        <v>0</v>
      </c>
      <c r="VI3" s="353">
        <v>0</v>
      </c>
      <c r="VJ3" s="353">
        <v>0</v>
      </c>
      <c r="VK3" s="353">
        <v>0.1368228173371111</v>
      </c>
      <c r="VL3" s="353">
        <v>0</v>
      </c>
      <c r="VM3" s="353">
        <v>0</v>
      </c>
      <c r="VN3" s="353">
        <v>0.99999997332340629</v>
      </c>
      <c r="VO3" s="353">
        <v>0</v>
      </c>
      <c r="VP3" s="353">
        <v>0</v>
      </c>
      <c r="VQ3" s="353">
        <v>0.99999997332340629</v>
      </c>
      <c r="VR3" s="353">
        <v>0</v>
      </c>
      <c r="VS3" s="353">
        <v>0</v>
      </c>
      <c r="VT3" s="353">
        <v>0</v>
      </c>
      <c r="VU3" s="353">
        <v>0</v>
      </c>
      <c r="VV3" s="353">
        <v>0</v>
      </c>
      <c r="VW3" s="353">
        <v>0</v>
      </c>
      <c r="VX3" s="353">
        <v>0</v>
      </c>
      <c r="VY3" s="353">
        <v>0</v>
      </c>
      <c r="VZ3" s="353">
        <v>0</v>
      </c>
      <c r="WA3" s="353">
        <v>0</v>
      </c>
      <c r="WB3" s="353">
        <v>0</v>
      </c>
      <c r="WC3" s="353">
        <v>0</v>
      </c>
      <c r="WD3" s="353">
        <v>0.99999997332340629</v>
      </c>
      <c r="WE3" s="353">
        <v>0.99999997332340629</v>
      </c>
      <c r="WF3" s="353">
        <v>0.99999997332340629</v>
      </c>
      <c r="WG3" s="353">
        <v>0</v>
      </c>
      <c r="WH3" s="353">
        <v>0.1368228173371111</v>
      </c>
      <c r="WI3" s="353">
        <v>0</v>
      </c>
      <c r="WJ3" s="353">
        <v>0</v>
      </c>
      <c r="WK3" s="353">
        <v>0</v>
      </c>
      <c r="WL3" s="353">
        <v>0</v>
      </c>
      <c r="WM3" s="353">
        <v>0</v>
      </c>
      <c r="WN3" s="353">
        <v>0</v>
      </c>
      <c r="WO3" s="353">
        <v>0</v>
      </c>
      <c r="WP3" s="353">
        <v>0</v>
      </c>
      <c r="WQ3" s="353">
        <v>0.69671722106437906</v>
      </c>
      <c r="WR3" s="353">
        <v>0</v>
      </c>
      <c r="WS3" s="353">
        <v>0</v>
      </c>
      <c r="WT3" s="353">
        <v>0</v>
      </c>
      <c r="WU3" s="353">
        <v>0</v>
      </c>
      <c r="WV3" s="353">
        <v>0</v>
      </c>
      <c r="WW3" s="353">
        <v>0</v>
      </c>
      <c r="WX3" s="353">
        <v>0</v>
      </c>
      <c r="WY3" s="353">
        <v>0</v>
      </c>
      <c r="WZ3" s="353">
        <v>0.52932982101001569</v>
      </c>
      <c r="XA3" s="353">
        <v>0</v>
      </c>
      <c r="XB3" s="353">
        <v>0</v>
      </c>
      <c r="XC3" s="353">
        <v>0</v>
      </c>
      <c r="XD3" s="353">
        <v>0</v>
      </c>
      <c r="XE3" s="353">
        <v>0</v>
      </c>
      <c r="XF3" s="353">
        <v>0</v>
      </c>
      <c r="XG3" s="353">
        <v>0</v>
      </c>
      <c r="XH3" s="353">
        <v>0</v>
      </c>
      <c r="XI3" s="353">
        <v>0</v>
      </c>
      <c r="XJ3" s="353">
        <v>0</v>
      </c>
      <c r="XK3" s="353">
        <v>0</v>
      </c>
      <c r="XL3" s="353">
        <v>0.2260470687509884</v>
      </c>
      <c r="XM3" s="353">
        <v>0.2260470687509884</v>
      </c>
      <c r="XN3" s="353">
        <v>0.99999997332340629</v>
      </c>
      <c r="XO3" s="353">
        <v>0</v>
      </c>
      <c r="XP3" s="353">
        <v>0</v>
      </c>
      <c r="XQ3" s="353">
        <v>0</v>
      </c>
      <c r="XR3" s="353">
        <v>0</v>
      </c>
      <c r="XS3" s="353">
        <v>0</v>
      </c>
      <c r="XT3" s="353">
        <v>0</v>
      </c>
      <c r="XU3" s="353">
        <v>0</v>
      </c>
      <c r="XV3" s="353">
        <v>0</v>
      </c>
      <c r="XW3" s="353">
        <v>0</v>
      </c>
      <c r="XX3" s="353">
        <v>0</v>
      </c>
      <c r="XY3" s="353">
        <v>0.99999997332340629</v>
      </c>
      <c r="XZ3" s="353">
        <v>0</v>
      </c>
      <c r="YA3" s="353">
        <v>0</v>
      </c>
      <c r="YB3" s="353">
        <v>0</v>
      </c>
      <c r="YC3" s="353">
        <v>0</v>
      </c>
      <c r="YD3" s="353">
        <v>0</v>
      </c>
      <c r="YE3" s="353">
        <v>0</v>
      </c>
      <c r="YF3" s="353">
        <v>0</v>
      </c>
      <c r="YG3" s="353">
        <v>0</v>
      </c>
      <c r="YH3" s="353">
        <v>0</v>
      </c>
      <c r="YI3" s="353">
        <v>0</v>
      </c>
      <c r="YJ3" s="353">
        <v>0</v>
      </c>
      <c r="YK3" s="353">
        <v>0.17727427031157619</v>
      </c>
      <c r="YL3" s="353">
        <v>0.47067015231339071</v>
      </c>
      <c r="YM3" s="353">
        <v>0</v>
      </c>
      <c r="YN3" s="353">
        <v>0</v>
      </c>
      <c r="YO3" s="353">
        <v>0</v>
      </c>
      <c r="YP3" s="353">
        <v>0</v>
      </c>
      <c r="YQ3" s="353">
        <v>0</v>
      </c>
      <c r="YR3" s="353">
        <v>0</v>
      </c>
      <c r="YS3" s="353">
        <v>0</v>
      </c>
      <c r="YT3" s="353">
        <v>0</v>
      </c>
      <c r="YU3" s="353">
        <v>0</v>
      </c>
      <c r="YV3" s="353">
        <v>0</v>
      </c>
      <c r="YW3" s="353">
        <v>0</v>
      </c>
      <c r="YX3" s="353">
        <v>0.60749296965050181</v>
      </c>
      <c r="YY3" s="353">
        <v>0</v>
      </c>
      <c r="YZ3" s="353">
        <v>0</v>
      </c>
      <c r="ZA3" s="353">
        <v>0.31409708764868732</v>
      </c>
      <c r="ZB3" s="353">
        <v>0</v>
      </c>
      <c r="ZC3" s="353">
        <v>0</v>
      </c>
      <c r="ZD3" s="353">
        <v>0</v>
      </c>
      <c r="ZE3" s="353">
        <v>0</v>
      </c>
      <c r="ZF3" s="353">
        <v>0</v>
      </c>
      <c r="ZG3" s="353">
        <v>0</v>
      </c>
      <c r="ZH3" s="353">
        <v>0.54014415639967572</v>
      </c>
      <c r="ZI3" s="353">
        <v>0.16645993492191619</v>
      </c>
      <c r="ZJ3" s="353">
        <v>0</v>
      </c>
      <c r="ZK3" s="353">
        <v>0.51944295075280278</v>
      </c>
      <c r="ZL3" s="353">
        <v>0</v>
      </c>
      <c r="ZM3" s="353">
        <v>0</v>
      </c>
      <c r="ZN3" s="353">
        <v>0</v>
      </c>
      <c r="ZO3" s="353">
        <v>0</v>
      </c>
      <c r="ZP3" s="353">
        <v>0</v>
      </c>
      <c r="ZQ3" s="353">
        <v>0</v>
      </c>
      <c r="ZR3" s="353">
        <v>0</v>
      </c>
      <c r="ZS3" s="353">
        <v>0</v>
      </c>
      <c r="ZT3" s="353">
        <v>0</v>
      </c>
      <c r="ZU3" s="353">
        <v>0.47067015231339071</v>
      </c>
      <c r="ZV3" s="353">
        <v>0.99999997332340629</v>
      </c>
      <c r="ZW3" s="353">
        <v>0</v>
      </c>
      <c r="ZX3" s="353">
        <v>0</v>
      </c>
      <c r="ZY3" s="353">
        <v>0</v>
      </c>
      <c r="ZZ3" s="353">
        <v>0</v>
      </c>
      <c r="AAA3" s="353">
        <v>0</v>
      </c>
      <c r="AAB3" s="353">
        <v>0</v>
      </c>
      <c r="AAC3" s="353">
        <v>0</v>
      </c>
      <c r="AAD3" s="353">
        <v>0</v>
      </c>
      <c r="AAE3" s="353">
        <v>0</v>
      </c>
      <c r="AAF3" s="353">
        <v>0</v>
      </c>
      <c r="AAG3" s="353">
        <v>0</v>
      </c>
      <c r="AAH3" s="353">
        <v>0</v>
      </c>
      <c r="AAI3" s="353">
        <v>0</v>
      </c>
      <c r="AAJ3" s="353">
        <v>0</v>
      </c>
      <c r="AAK3" s="353">
        <v>0</v>
      </c>
      <c r="AAL3" s="353">
        <v>0</v>
      </c>
      <c r="AAM3" s="353">
        <v>0</v>
      </c>
      <c r="AAN3" s="353">
        <v>0</v>
      </c>
      <c r="AAO3" s="353">
        <v>0</v>
      </c>
      <c r="AAP3" s="353">
        <v>0</v>
      </c>
      <c r="AAQ3" s="353">
        <v>0</v>
      </c>
      <c r="AAR3" s="353">
        <v>0</v>
      </c>
      <c r="AAS3" s="353">
        <v>0</v>
      </c>
      <c r="AAT3" s="353">
        <v>0.68590288567471902</v>
      </c>
      <c r="AAU3" s="353">
        <v>0</v>
      </c>
      <c r="AAV3" s="353">
        <v>0</v>
      </c>
      <c r="AAW3" s="353">
        <v>0</v>
      </c>
      <c r="AAX3" s="353">
        <v>0</v>
      </c>
      <c r="AAY3" s="353">
        <v>0</v>
      </c>
      <c r="AAZ3" s="353">
        <v>0</v>
      </c>
      <c r="ABA3" s="353">
        <v>0</v>
      </c>
      <c r="ABB3" s="353">
        <v>0</v>
      </c>
      <c r="ABC3" s="353">
        <v>0</v>
      </c>
      <c r="ABD3" s="353">
        <v>0</v>
      </c>
      <c r="ABE3" s="353">
        <v>0</v>
      </c>
      <c r="ABF3" s="353">
        <v>0</v>
      </c>
      <c r="ABG3" s="353">
        <v>0.99999997332340629</v>
      </c>
      <c r="ABH3" s="353">
        <v>0</v>
      </c>
      <c r="ABI3" s="353">
        <v>0</v>
      </c>
      <c r="ABJ3" s="353">
        <v>0</v>
      </c>
      <c r="ABK3" s="353">
        <v>0</v>
      </c>
      <c r="ABL3" s="353">
        <v>0</v>
      </c>
      <c r="ABM3" s="353">
        <v>0</v>
      </c>
      <c r="ABN3" s="353">
        <v>0</v>
      </c>
      <c r="ABO3" s="353">
        <v>0.3628698860880995</v>
      </c>
      <c r="ABP3" s="353">
        <v>0.3628698860880995</v>
      </c>
      <c r="ABQ3" s="353">
        <v>0</v>
      </c>
      <c r="ABR3" s="353">
        <v>0.99999997332340629</v>
      </c>
      <c r="ABS3" s="353">
        <v>0.29339588200181438</v>
      </c>
      <c r="ABT3" s="353">
        <v>0.29339588200181438</v>
      </c>
      <c r="ABU3" s="353">
        <v>0</v>
      </c>
      <c r="ABV3" s="353">
        <v>0</v>
      </c>
      <c r="ABW3" s="353">
        <v>0</v>
      </c>
      <c r="ABX3" s="353">
        <v>0</v>
      </c>
      <c r="ABY3" s="353">
        <v>0</v>
      </c>
      <c r="ABZ3" s="353">
        <v>0</v>
      </c>
      <c r="ACA3" s="353">
        <v>0</v>
      </c>
      <c r="ACB3" s="353">
        <v>0</v>
      </c>
      <c r="ACC3" s="353">
        <v>0.56978127398448075</v>
      </c>
      <c r="ACD3" s="353">
        <v>0.69671722106437906</v>
      </c>
      <c r="ACE3" s="353">
        <v>0</v>
      </c>
      <c r="ACF3" s="353">
        <v>0</v>
      </c>
      <c r="ACG3" s="353">
        <v>0</v>
      </c>
      <c r="ACH3" s="353">
        <v>0.31409708764868732</v>
      </c>
      <c r="ACI3" s="353">
        <v>0</v>
      </c>
      <c r="ACJ3" s="353">
        <v>0</v>
      </c>
      <c r="ACK3" s="353">
        <v>0</v>
      </c>
      <c r="ACL3" s="353">
        <v>0</v>
      </c>
      <c r="ACM3" s="353">
        <v>0</v>
      </c>
      <c r="ACN3" s="353">
        <v>0</v>
      </c>
      <c r="ACO3" s="353">
        <v>0</v>
      </c>
      <c r="ACP3" s="353">
        <v>0.83354003840149016</v>
      </c>
      <c r="ACQ3" s="353">
        <v>0</v>
      </c>
      <c r="ACR3" s="353">
        <v>0</v>
      </c>
      <c r="ACS3" s="353">
        <v>0</v>
      </c>
      <c r="ACT3" s="353">
        <v>0.1368228173371111</v>
      </c>
      <c r="ACU3" s="353">
        <v>0</v>
      </c>
      <c r="ACV3" s="353">
        <v>0</v>
      </c>
      <c r="ACW3" s="353">
        <v>0</v>
      </c>
      <c r="ACX3" s="353">
        <v>0</v>
      </c>
      <c r="ACY3" s="353">
        <v>0</v>
      </c>
      <c r="ACZ3" s="353">
        <v>0</v>
      </c>
      <c r="ADA3" s="353">
        <v>0</v>
      </c>
      <c r="ADB3" s="353">
        <v>0.99999997332340629</v>
      </c>
      <c r="ADC3" s="353">
        <v>0</v>
      </c>
      <c r="ADD3" s="353">
        <v>0.51944295075280278</v>
      </c>
      <c r="ADE3" s="353">
        <v>0.99999997332340629</v>
      </c>
      <c r="ADF3" s="353">
        <v>0</v>
      </c>
      <c r="ADG3" s="353">
        <v>0</v>
      </c>
      <c r="ADH3" s="353">
        <v>0</v>
      </c>
      <c r="ADI3" s="353">
        <v>0</v>
      </c>
      <c r="ADJ3" s="353">
        <v>0</v>
      </c>
      <c r="ADK3" s="353">
        <v>0</v>
      </c>
      <c r="ADL3" s="353">
        <v>0.52932982101001569</v>
      </c>
      <c r="ADM3" s="353">
        <v>0.16645993492191619</v>
      </c>
      <c r="ADN3" s="353">
        <v>0.69671722106437906</v>
      </c>
      <c r="ADO3" s="353">
        <v>0.29339588200181438</v>
      </c>
      <c r="ADP3" s="353">
        <v>0</v>
      </c>
      <c r="ADQ3" s="353">
        <v>0</v>
      </c>
      <c r="ADR3" s="353">
        <v>0</v>
      </c>
      <c r="ADS3" s="353">
        <v>0</v>
      </c>
      <c r="ADT3" s="353">
        <v>0</v>
      </c>
      <c r="ADU3" s="353">
        <v>0</v>
      </c>
      <c r="ADV3" s="353">
        <v>0</v>
      </c>
      <c r="ADW3" s="353">
        <v>0</v>
      </c>
      <c r="ADX3" s="353">
        <v>0</v>
      </c>
      <c r="ADY3" s="353">
        <v>0</v>
      </c>
      <c r="ADZ3" s="353">
        <v>0</v>
      </c>
      <c r="AEA3" s="353">
        <v>0</v>
      </c>
      <c r="AEB3" s="353">
        <v>0</v>
      </c>
      <c r="AEC3" s="353">
        <v>0</v>
      </c>
      <c r="AED3" s="353">
        <v>0</v>
      </c>
      <c r="AEE3" s="353">
        <v>0</v>
      </c>
      <c r="AEF3" s="353">
        <v>0</v>
      </c>
      <c r="AEG3" s="353">
        <v>0</v>
      </c>
      <c r="AEH3" s="353">
        <v>0.99999997332340629</v>
      </c>
      <c r="AEI3" s="353">
        <v>0</v>
      </c>
      <c r="AEJ3" s="353">
        <v>0.2260470687509884</v>
      </c>
      <c r="AEK3" s="353">
        <v>0</v>
      </c>
      <c r="AEL3" s="353">
        <v>0.99999997332340629</v>
      </c>
      <c r="AEM3" s="353">
        <v>0.51944295075280278</v>
      </c>
      <c r="AEN3" s="353">
        <v>0</v>
      </c>
      <c r="AEO3" s="353">
        <v>0</v>
      </c>
      <c r="AEP3" s="353">
        <v>0</v>
      </c>
      <c r="AEQ3" s="353">
        <v>0</v>
      </c>
      <c r="AER3" s="353">
        <v>0</v>
      </c>
      <c r="AES3" s="353">
        <v>0</v>
      </c>
      <c r="AET3" s="353">
        <v>0</v>
      </c>
      <c r="AEU3" s="353">
        <v>0.70660409132159185</v>
      </c>
      <c r="AEV3" s="353">
        <v>0.70660409132159185</v>
      </c>
      <c r="AEW3" s="353">
        <v>0</v>
      </c>
      <c r="AEX3" s="353">
        <v>0.86317715598629519</v>
      </c>
      <c r="AEY3" s="353">
        <v>0.99999997332340629</v>
      </c>
      <c r="AEZ3" s="353">
        <v>0</v>
      </c>
      <c r="AFA3" s="353">
        <v>0</v>
      </c>
      <c r="AFB3" s="353">
        <v>0</v>
      </c>
      <c r="AFC3" s="353">
        <v>0</v>
      </c>
      <c r="AFD3" s="353">
        <v>0</v>
      </c>
      <c r="AFE3" s="353">
        <v>0</v>
      </c>
      <c r="AFF3" s="353">
        <v>0.2260470687509884</v>
      </c>
      <c r="AFG3" s="353">
        <v>0</v>
      </c>
      <c r="AFH3" s="353">
        <v>0</v>
      </c>
      <c r="AFI3" s="353">
        <v>0.70660409132159185</v>
      </c>
      <c r="AFJ3" s="353">
        <v>0.29339588200181438</v>
      </c>
      <c r="AFK3" s="353">
        <v>0</v>
      </c>
      <c r="AFL3" s="353">
        <v>0</v>
      </c>
      <c r="AFM3" s="353">
        <v>0</v>
      </c>
      <c r="AFN3" s="353">
        <v>0</v>
      </c>
      <c r="AFO3" s="353">
        <v>0</v>
      </c>
      <c r="AFP3" s="353">
        <v>0</v>
      </c>
      <c r="AFQ3" s="353">
        <v>0</v>
      </c>
      <c r="AFR3" s="353">
        <v>0</v>
      </c>
      <c r="AFS3" s="353">
        <v>0</v>
      </c>
      <c r="AFT3" s="353">
        <v>0</v>
      </c>
      <c r="AFU3" s="353">
        <v>0.52932982101001569</v>
      </c>
      <c r="AFV3" s="353">
        <v>0</v>
      </c>
      <c r="AFW3" s="353">
        <v>0</v>
      </c>
      <c r="AFX3" s="353">
        <v>0</v>
      </c>
      <c r="AFY3" s="353">
        <v>0</v>
      </c>
      <c r="AFZ3" s="353">
        <v>0</v>
      </c>
      <c r="AGA3" s="353">
        <v>0</v>
      </c>
      <c r="AGB3" s="353">
        <v>0</v>
      </c>
      <c r="AGC3" s="353">
        <v>0</v>
      </c>
      <c r="AGD3" s="353">
        <v>0</v>
      </c>
      <c r="AGE3" s="353">
        <v>0</v>
      </c>
      <c r="AGF3" s="353">
        <v>0</v>
      </c>
      <c r="AGG3" s="353">
        <v>0</v>
      </c>
      <c r="AGH3" s="353">
        <v>0.17727427031157619</v>
      </c>
      <c r="AGI3" s="353">
        <v>0</v>
      </c>
      <c r="AGJ3" s="353">
        <v>0</v>
      </c>
      <c r="AGK3" s="353">
        <v>0</v>
      </c>
      <c r="AGL3" s="353">
        <v>0</v>
      </c>
      <c r="AGM3" s="353">
        <v>0</v>
      </c>
      <c r="AGN3" s="353">
        <v>0</v>
      </c>
      <c r="AGO3" s="353">
        <v>0</v>
      </c>
      <c r="AGP3" s="353">
        <v>0</v>
      </c>
      <c r="AGQ3" s="353">
        <v>0</v>
      </c>
      <c r="AGR3" s="353">
        <v>0</v>
      </c>
      <c r="AGS3" s="353">
        <v>0</v>
      </c>
      <c r="AGT3" s="353">
        <v>0.69671722106437906</v>
      </c>
      <c r="AGU3" s="353">
        <v>0.86317715598629519</v>
      </c>
      <c r="AGV3" s="353">
        <v>0</v>
      </c>
      <c r="AGW3" s="353">
        <v>0</v>
      </c>
      <c r="AGX3" s="353">
        <v>0</v>
      </c>
      <c r="AGY3" s="353">
        <v>0</v>
      </c>
      <c r="AGZ3" s="353">
        <v>0</v>
      </c>
      <c r="AHA3" s="353">
        <v>0</v>
      </c>
      <c r="AHB3" s="353">
        <v>0.39250700367290448</v>
      </c>
      <c r="AHC3" s="353">
        <v>0</v>
      </c>
      <c r="AHD3" s="353">
        <v>0</v>
      </c>
      <c r="AHE3" s="353">
        <v>0</v>
      </c>
      <c r="AHF3" s="353">
        <v>0.51944295075280278</v>
      </c>
      <c r="AHG3" s="353">
        <v>0.29339588200181438</v>
      </c>
      <c r="AHH3" s="353">
        <v>0</v>
      </c>
      <c r="AHI3" s="353">
        <v>0</v>
      </c>
      <c r="AHJ3" s="353">
        <v>0</v>
      </c>
      <c r="AHK3" s="353">
        <v>0</v>
      </c>
      <c r="AHL3" s="353">
        <v>0</v>
      </c>
      <c r="AHM3" s="353">
        <v>0</v>
      </c>
      <c r="AHN3" s="353">
        <v>0.70660409132159185</v>
      </c>
      <c r="AHO3" s="353">
        <v>0</v>
      </c>
      <c r="AHP3" s="353">
        <v>0</v>
      </c>
      <c r="AHQ3" s="353">
        <v>0.99999997332340629</v>
      </c>
      <c r="AHR3" s="353">
        <v>0</v>
      </c>
      <c r="AHS3" s="353">
        <v>0</v>
      </c>
      <c r="AHT3" s="353">
        <v>0</v>
      </c>
      <c r="AHU3" s="353">
        <v>0</v>
      </c>
      <c r="AHV3" s="353">
        <v>0</v>
      </c>
      <c r="AHW3" s="353">
        <v>0</v>
      </c>
      <c r="AHX3" s="353">
        <v>0</v>
      </c>
      <c r="AHY3" s="353">
        <v>0</v>
      </c>
      <c r="AHZ3" s="353">
        <v>0</v>
      </c>
      <c r="AIA3" s="353">
        <v>0.2260470687509884</v>
      </c>
      <c r="AIB3" s="353">
        <v>0</v>
      </c>
      <c r="AIC3" s="353">
        <v>0</v>
      </c>
      <c r="AID3" s="353">
        <v>0.29339588200181438</v>
      </c>
      <c r="AIE3" s="353">
        <v>0</v>
      </c>
      <c r="AIF3" s="353">
        <v>0</v>
      </c>
      <c r="AIG3" s="353">
        <v>0</v>
      </c>
      <c r="AIH3" s="353">
        <v>0</v>
      </c>
      <c r="AII3" s="353">
        <v>0</v>
      </c>
      <c r="AIJ3" s="353">
        <v>0</v>
      </c>
      <c r="AIK3" s="353">
        <v>0</v>
      </c>
      <c r="AIL3" s="353">
        <v>0</v>
      </c>
      <c r="AIM3" s="353">
        <v>0.39250700367290448</v>
      </c>
      <c r="AIN3" s="353">
        <v>0</v>
      </c>
      <c r="AIO3" s="353">
        <v>0.70660409132159185</v>
      </c>
      <c r="AIP3" s="353">
        <v>0</v>
      </c>
      <c r="AIQ3" s="353">
        <v>0</v>
      </c>
      <c r="AIR3" s="353">
        <v>0</v>
      </c>
      <c r="AIS3" s="353">
        <v>0</v>
      </c>
      <c r="AIT3" s="353">
        <v>0</v>
      </c>
      <c r="AIU3" s="353">
        <v>0</v>
      </c>
      <c r="AIV3" s="353">
        <v>0</v>
      </c>
      <c r="AIW3" s="353">
        <v>0</v>
      </c>
      <c r="AIX3" s="353">
        <v>0</v>
      </c>
      <c r="AIY3" s="353">
        <v>0.1368228173371111</v>
      </c>
      <c r="AIZ3" s="353">
        <v>0</v>
      </c>
      <c r="AJA3" s="353">
        <v>0</v>
      </c>
      <c r="AJB3" s="353">
        <v>0.47067015231339071</v>
      </c>
      <c r="AJC3" s="353">
        <v>0</v>
      </c>
      <c r="AJD3" s="353">
        <v>0</v>
      </c>
      <c r="AJE3" s="353">
        <v>0</v>
      </c>
      <c r="AJF3" s="353">
        <v>0</v>
      </c>
      <c r="AJG3" s="353">
        <v>0</v>
      </c>
      <c r="AJH3" s="353">
        <v>0</v>
      </c>
      <c r="AJI3" s="353">
        <v>0</v>
      </c>
      <c r="AJJ3" s="353">
        <v>0</v>
      </c>
      <c r="AJK3" s="353">
        <v>0</v>
      </c>
      <c r="AJL3" s="353">
        <v>0</v>
      </c>
      <c r="AJM3" s="353">
        <v>0</v>
      </c>
      <c r="AJN3" s="353">
        <v>0.99999997332340629</v>
      </c>
      <c r="AJO3" s="353">
        <v>0.99999997332340629</v>
      </c>
      <c r="AJP3" s="353">
        <v>0</v>
      </c>
      <c r="AJQ3" s="353">
        <v>0</v>
      </c>
      <c r="AJR3" s="353">
        <v>0.16645993492191619</v>
      </c>
      <c r="AJS3" s="353">
        <v>0</v>
      </c>
      <c r="AJT3" s="353">
        <v>0</v>
      </c>
      <c r="AJU3" s="353">
        <v>0</v>
      </c>
      <c r="AJV3" s="353">
        <v>0</v>
      </c>
      <c r="AJW3" s="353">
        <v>0</v>
      </c>
      <c r="AJX3" s="353">
        <v>0</v>
      </c>
      <c r="AJY3" s="353">
        <v>0.1368228173371111</v>
      </c>
      <c r="AJZ3" s="353">
        <v>0.99999997332340629</v>
      </c>
      <c r="AKA3" s="353">
        <v>0.99999997332340629</v>
      </c>
      <c r="AKB3" s="353">
        <v>0</v>
      </c>
      <c r="AKC3" s="353">
        <v>0</v>
      </c>
      <c r="AKD3" s="353">
        <v>0</v>
      </c>
      <c r="AKE3" s="353">
        <v>0</v>
      </c>
      <c r="AKF3" s="353">
        <v>0</v>
      </c>
      <c r="AKG3" s="353">
        <v>0</v>
      </c>
      <c r="AKH3" s="353">
        <v>0</v>
      </c>
      <c r="AKI3" s="353">
        <v>0</v>
      </c>
      <c r="AKJ3" s="353">
        <v>0</v>
      </c>
      <c r="AKK3" s="353">
        <v>0</v>
      </c>
      <c r="AKL3" s="353">
        <v>0.69671722106437906</v>
      </c>
      <c r="AKM3" s="353">
        <v>0</v>
      </c>
      <c r="AKN3" s="353">
        <v>0</v>
      </c>
      <c r="AKO3" s="353">
        <v>0</v>
      </c>
      <c r="AKP3" s="353">
        <v>0.48055702257060351</v>
      </c>
      <c r="AKQ3" s="353">
        <v>0</v>
      </c>
      <c r="AKR3" s="353">
        <v>0</v>
      </c>
      <c r="AKS3" s="353">
        <v>0.31409708764868732</v>
      </c>
      <c r="AKT3" s="353">
        <v>0</v>
      </c>
      <c r="AKU3" s="353">
        <v>0.70660409132159185</v>
      </c>
      <c r="AKV3" s="353">
        <v>0</v>
      </c>
      <c r="AKW3" s="353">
        <v>0.39250700367290448</v>
      </c>
      <c r="AKX3" s="353">
        <v>0</v>
      </c>
      <c r="AKY3" s="353">
        <v>0.99999997332340629</v>
      </c>
      <c r="AKZ3" s="353">
        <v>0.99999997332340629</v>
      </c>
      <c r="ALA3" s="353">
        <v>0</v>
      </c>
      <c r="ALB3" s="353">
        <v>0</v>
      </c>
      <c r="ALC3" s="353">
        <v>0</v>
      </c>
      <c r="ALD3" s="353">
        <v>0</v>
      </c>
      <c r="ALE3" s="353">
        <v>0</v>
      </c>
      <c r="ALF3" s="353">
        <v>0</v>
      </c>
      <c r="ALG3" s="353">
        <v>0.99999997332340629</v>
      </c>
      <c r="ALH3" s="353">
        <v>0</v>
      </c>
      <c r="ALI3" s="353">
        <v>0</v>
      </c>
      <c r="ALJ3" s="353">
        <v>0</v>
      </c>
      <c r="ALK3" s="353">
        <v>0.29339588200181438</v>
      </c>
      <c r="ALL3" s="353">
        <v>0</v>
      </c>
      <c r="ALM3" s="353">
        <v>0</v>
      </c>
      <c r="ALN3" s="353">
        <v>0.1368228173371111</v>
      </c>
      <c r="ALO3" s="353">
        <v>0</v>
      </c>
      <c r="ALP3" s="353">
        <v>0</v>
      </c>
      <c r="ALQ3" s="353">
        <v>0</v>
      </c>
      <c r="ALR3" s="353">
        <v>0</v>
      </c>
      <c r="ALS3" s="353">
        <v>0</v>
      </c>
      <c r="ALT3" s="353">
        <v>0</v>
      </c>
      <c r="ALU3" s="353">
        <v>0</v>
      </c>
      <c r="ALV3" s="353">
        <v>0.99999997332340629</v>
      </c>
      <c r="ALW3" s="353">
        <v>0</v>
      </c>
      <c r="ALX3" s="353">
        <v>0</v>
      </c>
      <c r="ALY3" s="353">
        <v>0</v>
      </c>
      <c r="ALZ3" s="353">
        <v>0</v>
      </c>
      <c r="AMA3" s="353">
        <v>0</v>
      </c>
      <c r="AMB3" s="353">
        <v>0</v>
      </c>
      <c r="AMC3" s="353">
        <v>0</v>
      </c>
      <c r="AMD3" s="353">
        <v>0</v>
      </c>
      <c r="AME3" s="353">
        <v>0</v>
      </c>
      <c r="AMF3" s="353">
        <v>0</v>
      </c>
      <c r="AMG3" s="353">
        <v>0</v>
      </c>
      <c r="AMH3" s="353">
        <v>0.17727427031157619</v>
      </c>
      <c r="AMI3" s="353">
        <v>0</v>
      </c>
      <c r="AMJ3" s="353">
        <v>0</v>
      </c>
      <c r="AMK3" s="353">
        <v>0</v>
      </c>
      <c r="AML3" s="353">
        <v>0</v>
      </c>
      <c r="AMM3" s="353">
        <v>0</v>
      </c>
      <c r="AMN3" s="353">
        <v>0</v>
      </c>
      <c r="AMO3" s="353">
        <v>0</v>
      </c>
      <c r="AMP3" s="353">
        <v>0</v>
      </c>
      <c r="AMQ3" s="353">
        <v>0</v>
      </c>
      <c r="AMR3" s="353">
        <v>0</v>
      </c>
      <c r="AMS3" s="353">
        <v>0</v>
      </c>
      <c r="AMT3" s="353">
        <v>0.82272570301183012</v>
      </c>
    </row>
    <row r="6" spans="2:1034" ht="18" x14ac:dyDescent="0.35">
      <c r="B6" s="352" t="s">
        <v>379</v>
      </c>
    </row>
    <row r="7" spans="2:1034" x14ac:dyDescent="0.3">
      <c r="B7" s="347" t="s">
        <v>376</v>
      </c>
      <c r="C7" s="351">
        <v>42005</v>
      </c>
      <c r="D7" s="351">
        <v>42036</v>
      </c>
      <c r="E7" s="351">
        <v>42064</v>
      </c>
      <c r="F7" s="351">
        <v>42095</v>
      </c>
      <c r="G7" s="351">
        <v>42125</v>
      </c>
      <c r="H7" s="351">
        <v>42156</v>
      </c>
      <c r="I7" s="351">
        <v>42186</v>
      </c>
      <c r="J7" s="351">
        <v>42217</v>
      </c>
      <c r="K7" s="351">
        <v>42248</v>
      </c>
      <c r="L7" s="351">
        <v>42278</v>
      </c>
      <c r="M7" s="351">
        <v>42309</v>
      </c>
      <c r="N7" s="351">
        <v>42339</v>
      </c>
      <c r="O7" s="351">
        <v>42370</v>
      </c>
      <c r="P7" s="351">
        <v>42401</v>
      </c>
      <c r="Q7" s="351">
        <v>42430</v>
      </c>
      <c r="R7" s="351">
        <v>42461</v>
      </c>
      <c r="S7" s="351">
        <v>42491</v>
      </c>
      <c r="T7" s="351">
        <v>42522</v>
      </c>
      <c r="U7" s="351">
        <v>42552</v>
      </c>
      <c r="V7" s="351">
        <v>42583</v>
      </c>
      <c r="W7" s="351">
        <v>42614</v>
      </c>
      <c r="X7" s="351">
        <v>42644</v>
      </c>
      <c r="Y7" s="351">
        <v>42675</v>
      </c>
      <c r="Z7" s="351">
        <v>42705</v>
      </c>
      <c r="AA7" s="351">
        <v>42736</v>
      </c>
      <c r="AB7" s="351">
        <v>42767</v>
      </c>
      <c r="AC7" s="351">
        <v>42795</v>
      </c>
      <c r="AD7" s="351">
        <v>42826</v>
      </c>
      <c r="AE7" s="351">
        <v>42856</v>
      </c>
      <c r="AF7" s="351">
        <v>42887</v>
      </c>
      <c r="AG7" s="351">
        <v>42917</v>
      </c>
      <c r="AH7" s="351">
        <v>42948</v>
      </c>
      <c r="AI7" s="351">
        <v>42979</v>
      </c>
      <c r="AJ7" s="351">
        <v>43009</v>
      </c>
      <c r="AK7" s="351">
        <v>43040</v>
      </c>
      <c r="AL7" s="351">
        <v>43070</v>
      </c>
      <c r="AM7" s="351">
        <v>43101</v>
      </c>
      <c r="AN7" s="351">
        <v>43132</v>
      </c>
      <c r="AO7" s="351">
        <v>43160</v>
      </c>
      <c r="AP7" s="351">
        <v>43191</v>
      </c>
      <c r="AQ7" s="351">
        <v>43221</v>
      </c>
      <c r="AR7" s="351">
        <v>43252</v>
      </c>
      <c r="AS7" s="351">
        <v>43282</v>
      </c>
      <c r="AT7" s="351">
        <v>43313</v>
      </c>
      <c r="AU7" s="351">
        <v>43344</v>
      </c>
      <c r="AV7" s="351">
        <v>43374</v>
      </c>
      <c r="AW7" s="351">
        <v>43405</v>
      </c>
      <c r="AX7" s="351">
        <v>43435</v>
      </c>
      <c r="AY7" s="351">
        <v>43466</v>
      </c>
      <c r="AZ7" s="351">
        <v>43497</v>
      </c>
      <c r="BA7" s="351">
        <v>43525</v>
      </c>
      <c r="BB7" s="351">
        <v>43556</v>
      </c>
      <c r="BC7" s="351">
        <v>43586</v>
      </c>
      <c r="BD7" s="351">
        <v>43617</v>
      </c>
      <c r="BE7" s="351">
        <v>43647</v>
      </c>
      <c r="BF7" s="351">
        <v>43678</v>
      </c>
      <c r="BG7" s="351">
        <v>43709</v>
      </c>
      <c r="BH7" s="351">
        <v>43739</v>
      </c>
      <c r="BI7" s="351">
        <v>43770</v>
      </c>
      <c r="BJ7" s="351">
        <v>43800</v>
      </c>
      <c r="BK7" s="351">
        <v>43831</v>
      </c>
      <c r="BL7" s="351">
        <v>43862</v>
      </c>
      <c r="BM7" s="351">
        <v>43891</v>
      </c>
      <c r="BN7" s="351">
        <v>43922</v>
      </c>
      <c r="BO7" s="351">
        <v>43952</v>
      </c>
      <c r="BP7" s="351">
        <v>43983</v>
      </c>
      <c r="BQ7" s="351">
        <v>44013</v>
      </c>
      <c r="BR7" s="351">
        <v>44044</v>
      </c>
      <c r="BS7" s="351">
        <v>44075</v>
      </c>
      <c r="BT7" s="351">
        <v>44105</v>
      </c>
      <c r="BU7" s="351">
        <v>44136</v>
      </c>
      <c r="BV7" s="351">
        <v>44166</v>
      </c>
      <c r="BW7" s="351">
        <v>44197</v>
      </c>
      <c r="BX7" s="351">
        <v>44228</v>
      </c>
      <c r="BY7" s="351">
        <v>44256</v>
      </c>
      <c r="BZ7" s="351">
        <v>44287</v>
      </c>
      <c r="CA7" s="351">
        <v>44317</v>
      </c>
      <c r="CB7" s="351">
        <v>44348</v>
      </c>
      <c r="CC7" s="351">
        <v>44378</v>
      </c>
      <c r="CD7" s="351">
        <v>44409</v>
      </c>
      <c r="CE7" s="351">
        <v>44440</v>
      </c>
      <c r="CF7" s="351">
        <v>44470</v>
      </c>
      <c r="CG7" s="351">
        <v>44501</v>
      </c>
      <c r="CH7" s="351">
        <v>44531</v>
      </c>
      <c r="CI7" s="351">
        <v>44562</v>
      </c>
      <c r="CJ7" s="351">
        <v>44593</v>
      </c>
      <c r="CK7" s="351">
        <v>44621</v>
      </c>
      <c r="CL7" s="351">
        <v>44652</v>
      </c>
      <c r="CM7" s="351">
        <v>44682</v>
      </c>
      <c r="CN7" s="351">
        <v>44713</v>
      </c>
      <c r="CO7" s="351">
        <v>44743</v>
      </c>
      <c r="CP7" s="351">
        <v>44774</v>
      </c>
      <c r="CQ7" s="351">
        <v>44805</v>
      </c>
      <c r="CR7" s="351">
        <v>44835</v>
      </c>
      <c r="CS7" s="351">
        <v>44866</v>
      </c>
      <c r="CT7" s="351">
        <v>44896</v>
      </c>
      <c r="CU7" s="351">
        <v>44927</v>
      </c>
      <c r="CV7" s="351">
        <v>44958</v>
      </c>
      <c r="CW7" s="351">
        <v>44986</v>
      </c>
      <c r="CX7" s="351">
        <v>45017</v>
      </c>
      <c r="CY7" s="351">
        <v>45047</v>
      </c>
      <c r="CZ7" s="351">
        <v>45078</v>
      </c>
      <c r="DA7" s="351">
        <v>45108</v>
      </c>
      <c r="DB7" s="351">
        <v>45139</v>
      </c>
      <c r="DC7" s="351">
        <v>45170</v>
      </c>
      <c r="DD7" s="351">
        <v>45200</v>
      </c>
      <c r="DE7" s="351">
        <v>45231</v>
      </c>
      <c r="DF7" s="351">
        <v>45261</v>
      </c>
      <c r="DG7" s="351">
        <v>45292</v>
      </c>
      <c r="DH7" s="351">
        <v>45323</v>
      </c>
      <c r="DI7" s="351">
        <v>45352</v>
      </c>
      <c r="DJ7" s="351">
        <v>45383</v>
      </c>
      <c r="DK7" s="351">
        <v>45413</v>
      </c>
      <c r="DL7" s="351">
        <v>45444</v>
      </c>
      <c r="DM7" s="351">
        <v>45474</v>
      </c>
      <c r="DN7" s="351">
        <v>45505</v>
      </c>
      <c r="DO7" s="351">
        <v>45536</v>
      </c>
      <c r="DP7" s="351">
        <v>45566</v>
      </c>
      <c r="DQ7" s="351">
        <v>45597</v>
      </c>
      <c r="DR7" s="351">
        <v>45627</v>
      </c>
      <c r="DS7" s="351">
        <v>45658</v>
      </c>
      <c r="DT7" s="351">
        <v>45689</v>
      </c>
      <c r="DU7" s="351">
        <v>45717</v>
      </c>
      <c r="DV7" s="351">
        <v>45748</v>
      </c>
      <c r="DW7" s="351">
        <v>45778</v>
      </c>
      <c r="DX7" s="351">
        <v>45809</v>
      </c>
      <c r="DY7" s="351">
        <v>45839</v>
      </c>
      <c r="DZ7" s="351">
        <v>45870</v>
      </c>
      <c r="EA7" s="351">
        <v>45901</v>
      </c>
      <c r="EB7" s="351">
        <v>45931</v>
      </c>
      <c r="EC7" s="351">
        <v>45962</v>
      </c>
      <c r="ED7" s="351">
        <v>45992</v>
      </c>
      <c r="EE7" s="351">
        <v>46023</v>
      </c>
      <c r="EF7" s="351">
        <v>46054</v>
      </c>
      <c r="EG7" s="351">
        <v>46082</v>
      </c>
      <c r="EH7" s="351">
        <v>46113</v>
      </c>
      <c r="EI7" s="351">
        <v>46143</v>
      </c>
      <c r="EJ7" s="351">
        <v>46174</v>
      </c>
      <c r="EK7" s="351">
        <v>46204</v>
      </c>
      <c r="EL7" s="351">
        <v>46235</v>
      </c>
      <c r="EM7" s="351">
        <v>46266</v>
      </c>
      <c r="EN7" s="351">
        <v>46296</v>
      </c>
      <c r="EO7" s="351">
        <v>46327</v>
      </c>
      <c r="EP7" s="351">
        <v>46357</v>
      </c>
      <c r="EQ7" s="351">
        <v>46388</v>
      </c>
      <c r="ER7" s="351">
        <v>46419</v>
      </c>
      <c r="ES7" s="351">
        <v>46447</v>
      </c>
      <c r="ET7" s="351">
        <v>46478</v>
      </c>
      <c r="EU7" s="351">
        <v>46508</v>
      </c>
      <c r="EV7" s="351">
        <v>46539</v>
      </c>
      <c r="EW7" s="351">
        <v>46569</v>
      </c>
      <c r="EX7" s="351">
        <v>46600</v>
      </c>
      <c r="EY7" s="351">
        <v>46631</v>
      </c>
      <c r="EZ7" s="351">
        <v>46661</v>
      </c>
      <c r="FA7" s="351">
        <v>46692</v>
      </c>
      <c r="FB7" s="351">
        <v>46722</v>
      </c>
      <c r="FC7" s="351">
        <v>46753</v>
      </c>
      <c r="FD7" s="351">
        <v>46784</v>
      </c>
      <c r="FE7" s="351">
        <v>46813</v>
      </c>
      <c r="FF7" s="351">
        <v>46844</v>
      </c>
      <c r="FG7" s="351">
        <v>46874</v>
      </c>
      <c r="FH7" s="351">
        <v>46905</v>
      </c>
      <c r="FI7" s="351">
        <v>46935</v>
      </c>
      <c r="FJ7" s="351">
        <v>46966</v>
      </c>
      <c r="FK7" s="351">
        <v>46997</v>
      </c>
      <c r="FL7" s="351">
        <v>47027</v>
      </c>
      <c r="FM7" s="351">
        <v>47058</v>
      </c>
      <c r="FN7" s="351">
        <v>47088</v>
      </c>
      <c r="FO7" s="351">
        <v>47119</v>
      </c>
      <c r="FP7" s="351">
        <v>47150</v>
      </c>
      <c r="FQ7" s="351">
        <v>47178</v>
      </c>
      <c r="FR7" s="351">
        <v>47209</v>
      </c>
      <c r="FS7" s="351">
        <v>47239</v>
      </c>
      <c r="FT7" s="351">
        <v>47270</v>
      </c>
      <c r="FU7" s="351">
        <v>47300</v>
      </c>
      <c r="FV7" s="351">
        <v>47331</v>
      </c>
      <c r="FW7" s="351">
        <v>47362</v>
      </c>
      <c r="FX7" s="351">
        <v>47392</v>
      </c>
      <c r="FY7" s="351">
        <v>47423</v>
      </c>
      <c r="FZ7" s="351">
        <v>47453</v>
      </c>
      <c r="GA7" s="351">
        <v>47484</v>
      </c>
      <c r="GB7" s="351">
        <v>47515</v>
      </c>
      <c r="GC7" s="351">
        <v>47543</v>
      </c>
      <c r="GD7" s="351">
        <v>47574</v>
      </c>
      <c r="GE7" s="351">
        <v>47604</v>
      </c>
      <c r="GF7" s="351">
        <v>47635</v>
      </c>
      <c r="GG7" s="351">
        <v>47665</v>
      </c>
      <c r="GH7" s="351">
        <v>47696</v>
      </c>
      <c r="GI7" s="351">
        <v>47727</v>
      </c>
      <c r="GJ7" s="351">
        <v>47757</v>
      </c>
      <c r="GK7" s="351">
        <v>47788</v>
      </c>
      <c r="GL7" s="351">
        <v>47818</v>
      </c>
      <c r="GM7" s="351">
        <v>47849</v>
      </c>
      <c r="GN7" s="351">
        <v>47880</v>
      </c>
      <c r="GO7" s="351">
        <v>47908</v>
      </c>
      <c r="GP7" s="351">
        <v>47939</v>
      </c>
      <c r="GQ7" s="351">
        <v>47969</v>
      </c>
      <c r="GR7" s="351">
        <v>48000</v>
      </c>
      <c r="GS7" s="351">
        <v>48030</v>
      </c>
      <c r="GT7" s="351">
        <v>48061</v>
      </c>
      <c r="GU7" s="351">
        <v>48092</v>
      </c>
      <c r="GV7" s="351">
        <v>48122</v>
      </c>
      <c r="GW7" s="351">
        <v>48153</v>
      </c>
      <c r="GX7" s="351">
        <v>48183</v>
      </c>
      <c r="GY7" s="351">
        <v>48214</v>
      </c>
      <c r="GZ7" s="351">
        <v>48245</v>
      </c>
      <c r="HA7" s="351">
        <v>48274</v>
      </c>
      <c r="HB7" s="351">
        <v>48305</v>
      </c>
      <c r="HC7" s="351">
        <v>48335</v>
      </c>
      <c r="HD7" s="351">
        <v>48366</v>
      </c>
      <c r="HE7" s="351">
        <v>48396</v>
      </c>
      <c r="HF7" s="351">
        <v>48427</v>
      </c>
      <c r="HG7" s="351">
        <v>48458</v>
      </c>
      <c r="HH7" s="351">
        <v>48488</v>
      </c>
      <c r="HI7" s="351">
        <v>48519</v>
      </c>
      <c r="HJ7" s="351">
        <v>48549</v>
      </c>
      <c r="HK7" s="351">
        <v>48580</v>
      </c>
      <c r="HL7" s="351">
        <v>48611</v>
      </c>
      <c r="HM7" s="351">
        <v>48639</v>
      </c>
      <c r="HN7" s="351">
        <v>48670</v>
      </c>
      <c r="HO7" s="351">
        <v>48700</v>
      </c>
      <c r="HP7" s="351">
        <v>48731</v>
      </c>
      <c r="HQ7" s="351">
        <v>48761</v>
      </c>
      <c r="HR7" s="351">
        <v>48792</v>
      </c>
      <c r="HS7" s="351">
        <v>48823</v>
      </c>
      <c r="HT7" s="351">
        <v>48853</v>
      </c>
      <c r="HU7" s="351">
        <v>48884</v>
      </c>
      <c r="HV7" s="351">
        <v>48914</v>
      </c>
      <c r="HW7" s="351">
        <v>48945</v>
      </c>
      <c r="HX7" s="351">
        <v>48976</v>
      </c>
      <c r="HY7" s="351">
        <v>49004</v>
      </c>
      <c r="HZ7" s="351">
        <v>49035</v>
      </c>
      <c r="IA7" s="351">
        <v>49065</v>
      </c>
      <c r="IB7" s="351">
        <v>49096</v>
      </c>
      <c r="IC7" s="351">
        <v>49126</v>
      </c>
      <c r="ID7" s="351">
        <v>49157</v>
      </c>
      <c r="IE7" s="351">
        <v>49188</v>
      </c>
      <c r="IF7" s="351">
        <v>49218</v>
      </c>
      <c r="IG7" s="351">
        <v>49249</v>
      </c>
      <c r="IH7" s="351">
        <v>49279</v>
      </c>
      <c r="II7" s="351">
        <v>49310</v>
      </c>
      <c r="IJ7" s="351">
        <v>49341</v>
      </c>
      <c r="IK7" s="351">
        <v>49369</v>
      </c>
      <c r="IL7" s="351">
        <v>49400</v>
      </c>
      <c r="IM7" s="351">
        <v>49430</v>
      </c>
      <c r="IN7" s="351">
        <v>49461</v>
      </c>
      <c r="IO7" s="351">
        <v>49491</v>
      </c>
      <c r="IP7" s="351">
        <v>49522</v>
      </c>
      <c r="IQ7" s="351">
        <v>49553</v>
      </c>
      <c r="IR7" s="351">
        <v>49583</v>
      </c>
      <c r="IS7" s="351">
        <v>49614</v>
      </c>
      <c r="IT7" s="351">
        <v>49644</v>
      </c>
      <c r="IU7" s="351">
        <v>49675</v>
      </c>
      <c r="IV7" s="351">
        <v>49706</v>
      </c>
      <c r="IW7" s="351">
        <v>49735</v>
      </c>
      <c r="IX7" s="351">
        <v>49766</v>
      </c>
      <c r="IY7" s="351">
        <v>49796</v>
      </c>
      <c r="IZ7" s="351">
        <v>49827</v>
      </c>
      <c r="JA7" s="351">
        <v>49857</v>
      </c>
      <c r="JB7" s="351">
        <v>49888</v>
      </c>
      <c r="JC7" s="351">
        <v>49919</v>
      </c>
      <c r="JD7" s="351">
        <v>49949</v>
      </c>
      <c r="JE7" s="351">
        <v>49980</v>
      </c>
      <c r="JF7" s="351">
        <v>50010</v>
      </c>
      <c r="JG7" s="351">
        <v>50041</v>
      </c>
      <c r="JH7" s="351">
        <v>50072</v>
      </c>
      <c r="JI7" s="351">
        <v>50100</v>
      </c>
      <c r="JJ7" s="351">
        <v>50131</v>
      </c>
      <c r="JK7" s="351">
        <v>50161</v>
      </c>
      <c r="JL7" s="351">
        <v>50192</v>
      </c>
      <c r="JM7" s="351">
        <v>50222</v>
      </c>
      <c r="JN7" s="351">
        <v>50253</v>
      </c>
      <c r="JO7" s="351">
        <v>50284</v>
      </c>
      <c r="JP7" s="351">
        <v>50314</v>
      </c>
      <c r="JQ7" s="351">
        <v>50345</v>
      </c>
      <c r="JR7" s="351">
        <v>50375</v>
      </c>
      <c r="JS7" s="351">
        <v>50406</v>
      </c>
      <c r="JT7" s="351">
        <v>50437</v>
      </c>
      <c r="JU7" s="351">
        <v>50465</v>
      </c>
      <c r="JV7" s="351">
        <v>50496</v>
      </c>
      <c r="JW7" s="351">
        <v>50526</v>
      </c>
      <c r="JX7" s="351">
        <v>50557</v>
      </c>
      <c r="JY7" s="351">
        <v>50587</v>
      </c>
      <c r="JZ7" s="351">
        <v>50618</v>
      </c>
      <c r="KA7" s="351">
        <v>50649</v>
      </c>
      <c r="KB7" s="351">
        <v>50679</v>
      </c>
      <c r="KC7" s="351">
        <v>50710</v>
      </c>
      <c r="KD7" s="351">
        <v>50740</v>
      </c>
      <c r="KE7" s="351">
        <v>50771</v>
      </c>
      <c r="KF7" s="351">
        <v>50802</v>
      </c>
      <c r="KG7" s="351">
        <v>50830</v>
      </c>
      <c r="KH7" s="351">
        <v>50861</v>
      </c>
      <c r="KI7" s="351">
        <v>50891</v>
      </c>
      <c r="KJ7" s="351">
        <v>50922</v>
      </c>
      <c r="KK7" s="351">
        <v>50952</v>
      </c>
      <c r="KL7" s="351">
        <v>50983</v>
      </c>
      <c r="KM7" s="351">
        <v>51014</v>
      </c>
      <c r="KN7" s="351">
        <v>51044</v>
      </c>
      <c r="KO7" s="351">
        <v>51075</v>
      </c>
      <c r="KP7" s="351">
        <v>51105</v>
      </c>
      <c r="KQ7" s="351">
        <v>51136</v>
      </c>
      <c r="KR7" s="351">
        <v>51167</v>
      </c>
      <c r="KS7" s="351">
        <v>51196</v>
      </c>
      <c r="KT7" s="351">
        <v>51227</v>
      </c>
      <c r="KU7" s="351">
        <v>51257</v>
      </c>
      <c r="KV7" s="351">
        <v>51288</v>
      </c>
      <c r="KW7" s="351">
        <v>51318</v>
      </c>
      <c r="KX7" s="351">
        <v>51349</v>
      </c>
      <c r="KY7" s="351">
        <v>51380</v>
      </c>
      <c r="KZ7" s="351">
        <v>51410</v>
      </c>
      <c r="LA7" s="351">
        <v>51441</v>
      </c>
      <c r="LB7" s="351">
        <v>51471</v>
      </c>
      <c r="LC7" s="351">
        <v>51502</v>
      </c>
      <c r="LD7" s="351">
        <v>51533</v>
      </c>
      <c r="LE7" s="351">
        <v>51561</v>
      </c>
      <c r="LF7" s="351">
        <v>51592</v>
      </c>
      <c r="LG7" s="351">
        <v>51622</v>
      </c>
      <c r="LH7" s="351">
        <v>51653</v>
      </c>
      <c r="LI7" s="351">
        <v>51683</v>
      </c>
      <c r="LJ7" s="351">
        <v>51714</v>
      </c>
      <c r="LK7" s="351">
        <v>51745</v>
      </c>
      <c r="LL7" s="351">
        <v>51775</v>
      </c>
      <c r="LM7" s="351">
        <v>51806</v>
      </c>
      <c r="LN7" s="351">
        <v>51836</v>
      </c>
      <c r="LO7" s="351">
        <v>51867</v>
      </c>
      <c r="LP7" s="351">
        <v>51898</v>
      </c>
      <c r="LQ7" s="351">
        <v>51926</v>
      </c>
      <c r="LR7" s="351">
        <v>51957</v>
      </c>
      <c r="LS7" s="351">
        <v>51987</v>
      </c>
      <c r="LT7" s="351">
        <v>52018</v>
      </c>
      <c r="LU7" s="351">
        <v>52048</v>
      </c>
      <c r="LV7" s="351">
        <v>52079</v>
      </c>
      <c r="LW7" s="351">
        <v>52110</v>
      </c>
      <c r="LX7" s="351">
        <v>52140</v>
      </c>
      <c r="LY7" s="351">
        <v>52171</v>
      </c>
      <c r="LZ7" s="351">
        <v>52201</v>
      </c>
      <c r="MA7" s="351">
        <v>52232</v>
      </c>
      <c r="MB7" s="351">
        <v>52263</v>
      </c>
      <c r="MC7" s="351">
        <v>52291</v>
      </c>
      <c r="MD7" s="351">
        <v>52322</v>
      </c>
      <c r="ME7" s="351">
        <v>52352</v>
      </c>
      <c r="MF7" s="351">
        <v>52383</v>
      </c>
      <c r="MG7" s="351">
        <v>52413</v>
      </c>
      <c r="MH7" s="351">
        <v>52444</v>
      </c>
      <c r="MI7" s="351">
        <v>52475</v>
      </c>
      <c r="MJ7" s="351">
        <v>52505</v>
      </c>
      <c r="MK7" s="351">
        <v>52536</v>
      </c>
      <c r="ML7" s="351">
        <v>52566</v>
      </c>
      <c r="MM7" s="351">
        <v>52597</v>
      </c>
      <c r="MN7" s="351">
        <v>52628</v>
      </c>
      <c r="MO7" s="351">
        <v>52657</v>
      </c>
      <c r="MP7" s="351">
        <v>52688</v>
      </c>
      <c r="MQ7" s="351">
        <v>52718</v>
      </c>
      <c r="MR7" s="351">
        <v>52749</v>
      </c>
      <c r="MS7" s="351">
        <v>52779</v>
      </c>
      <c r="MT7" s="351">
        <v>52810</v>
      </c>
      <c r="MU7" s="351">
        <v>52841</v>
      </c>
      <c r="MV7" s="351">
        <v>52871</v>
      </c>
      <c r="MW7" s="351">
        <v>52902</v>
      </c>
      <c r="MX7" s="351">
        <v>52932</v>
      </c>
      <c r="MY7" s="351">
        <v>52963</v>
      </c>
      <c r="MZ7" s="351">
        <v>52994</v>
      </c>
      <c r="NA7" s="351">
        <v>53022</v>
      </c>
      <c r="NB7" s="351">
        <v>53053</v>
      </c>
      <c r="NC7" s="351">
        <v>53083</v>
      </c>
      <c r="ND7" s="351">
        <v>53114</v>
      </c>
      <c r="NE7" s="351">
        <v>53144</v>
      </c>
      <c r="NF7" s="351">
        <v>53175</v>
      </c>
      <c r="NG7" s="351">
        <v>53206</v>
      </c>
      <c r="NH7" s="351">
        <v>53236</v>
      </c>
      <c r="NI7" s="351">
        <v>53267</v>
      </c>
      <c r="NJ7" s="351">
        <v>53297</v>
      </c>
      <c r="NK7" s="351">
        <v>53328</v>
      </c>
      <c r="NL7" s="351">
        <v>53359</v>
      </c>
      <c r="NM7" s="351">
        <v>53387</v>
      </c>
      <c r="NN7" s="351">
        <v>53418</v>
      </c>
      <c r="NO7" s="351">
        <v>53448</v>
      </c>
      <c r="NP7" s="351">
        <v>53479</v>
      </c>
      <c r="NQ7" s="351">
        <v>53509</v>
      </c>
      <c r="NR7" s="351">
        <v>53540</v>
      </c>
      <c r="NS7" s="351">
        <v>53571</v>
      </c>
      <c r="NT7" s="351">
        <v>53601</v>
      </c>
      <c r="NU7" s="351">
        <v>53632</v>
      </c>
      <c r="NV7" s="351">
        <v>53662</v>
      </c>
      <c r="NW7" s="351">
        <v>53693</v>
      </c>
      <c r="NX7" s="351">
        <v>53724</v>
      </c>
      <c r="NY7" s="351">
        <v>53752</v>
      </c>
      <c r="NZ7" s="351">
        <v>53783</v>
      </c>
      <c r="OA7" s="351">
        <v>53813</v>
      </c>
      <c r="OB7" s="351">
        <v>53844</v>
      </c>
      <c r="OC7" s="351">
        <v>53874</v>
      </c>
      <c r="OD7" s="351">
        <v>53905</v>
      </c>
      <c r="OE7" s="351">
        <v>53936</v>
      </c>
      <c r="OF7" s="351">
        <v>53966</v>
      </c>
      <c r="OG7" s="351">
        <v>53997</v>
      </c>
      <c r="OH7" s="351">
        <v>54027</v>
      </c>
      <c r="OI7" s="351">
        <v>54058</v>
      </c>
      <c r="OJ7" s="351">
        <v>54089</v>
      </c>
      <c r="OK7" s="351">
        <v>54118</v>
      </c>
      <c r="OL7" s="351">
        <v>54149</v>
      </c>
      <c r="OM7" s="351">
        <v>54179</v>
      </c>
      <c r="ON7" s="351">
        <v>54210</v>
      </c>
      <c r="OO7" s="351">
        <v>54240</v>
      </c>
      <c r="OP7" s="351">
        <v>54271</v>
      </c>
      <c r="OQ7" s="351">
        <v>54302</v>
      </c>
      <c r="OR7" s="351">
        <v>54332</v>
      </c>
      <c r="OS7" s="351">
        <v>54363</v>
      </c>
      <c r="OT7" s="351">
        <v>54393</v>
      </c>
      <c r="OU7" s="351">
        <v>54424</v>
      </c>
      <c r="OV7" s="351">
        <v>54455</v>
      </c>
      <c r="OW7" s="351">
        <v>54483</v>
      </c>
      <c r="OX7" s="351">
        <v>54514</v>
      </c>
      <c r="OY7" s="351">
        <v>54544</v>
      </c>
      <c r="OZ7" s="351">
        <v>54575</v>
      </c>
      <c r="PA7" s="351">
        <v>54605</v>
      </c>
      <c r="PB7" s="351">
        <v>54636</v>
      </c>
      <c r="PC7" s="351">
        <v>54667</v>
      </c>
      <c r="PD7" s="351">
        <v>54697</v>
      </c>
      <c r="PE7" s="351">
        <v>54728</v>
      </c>
      <c r="PF7" s="351">
        <v>54758</v>
      </c>
      <c r="PG7" s="351">
        <v>54789</v>
      </c>
      <c r="PH7" s="351">
        <v>54820</v>
      </c>
      <c r="PI7" s="351">
        <v>54848</v>
      </c>
      <c r="PJ7" s="351">
        <v>54879</v>
      </c>
      <c r="PK7" s="351">
        <v>54909</v>
      </c>
      <c r="PL7" s="351">
        <v>54940</v>
      </c>
      <c r="PM7" s="351">
        <v>54970</v>
      </c>
      <c r="PN7" s="351">
        <v>55001</v>
      </c>
      <c r="PO7" s="351">
        <v>55032</v>
      </c>
      <c r="PP7" s="351">
        <v>55062</v>
      </c>
      <c r="PQ7" s="351">
        <v>55093</v>
      </c>
      <c r="PR7" s="351">
        <v>55123</v>
      </c>
    </row>
    <row r="8" spans="2:1034" s="353" customFormat="1" x14ac:dyDescent="0.3">
      <c r="B8" s="349" t="s">
        <v>377</v>
      </c>
      <c r="C8" s="353">
        <v>0</v>
      </c>
      <c r="D8" s="353">
        <v>0.29339588200181438</v>
      </c>
      <c r="E8" s="353">
        <v>0</v>
      </c>
      <c r="F8" s="353">
        <v>0</v>
      </c>
      <c r="G8" s="353">
        <v>0</v>
      </c>
      <c r="H8" s="353">
        <v>0</v>
      </c>
      <c r="I8" s="353">
        <v>0</v>
      </c>
      <c r="J8" s="353">
        <v>0</v>
      </c>
      <c r="K8" s="353">
        <v>0.99999997332340629</v>
      </c>
      <c r="L8" s="353">
        <v>0.30328275225902729</v>
      </c>
      <c r="M8" s="353">
        <v>0</v>
      </c>
      <c r="N8" s="353">
        <v>0.99999997332340629</v>
      </c>
      <c r="O8" s="353">
        <v>0</v>
      </c>
      <c r="P8" s="353">
        <v>0</v>
      </c>
      <c r="Q8" s="353">
        <v>0</v>
      </c>
      <c r="R8" s="353">
        <v>0.1368228173371111</v>
      </c>
      <c r="S8" s="353">
        <v>0</v>
      </c>
      <c r="T8" s="353">
        <v>0</v>
      </c>
      <c r="U8" s="353">
        <v>0</v>
      </c>
      <c r="V8" s="353">
        <v>0</v>
      </c>
      <c r="W8" s="353">
        <v>0</v>
      </c>
      <c r="X8" s="353">
        <v>0</v>
      </c>
      <c r="Y8" s="353">
        <v>0</v>
      </c>
      <c r="Z8" s="353">
        <v>0.99999997332340629</v>
      </c>
      <c r="AA8" s="353">
        <v>0</v>
      </c>
      <c r="AB8" s="353">
        <v>0.99999997332340629</v>
      </c>
      <c r="AC8" s="353">
        <v>0</v>
      </c>
      <c r="AD8" s="353">
        <v>0</v>
      </c>
      <c r="AE8" s="353">
        <v>0</v>
      </c>
      <c r="AF8" s="353">
        <v>0</v>
      </c>
      <c r="AG8" s="353">
        <v>0</v>
      </c>
      <c r="AH8" s="353">
        <v>0</v>
      </c>
      <c r="AI8" s="353">
        <v>0</v>
      </c>
      <c r="AJ8" s="353">
        <v>0</v>
      </c>
      <c r="AK8" s="353">
        <v>0</v>
      </c>
      <c r="AL8" s="353">
        <v>0.60749296965050181</v>
      </c>
      <c r="AM8" s="353">
        <v>0</v>
      </c>
      <c r="AN8" s="353">
        <v>0</v>
      </c>
      <c r="AO8" s="353">
        <v>0</v>
      </c>
      <c r="AP8" s="353">
        <v>0</v>
      </c>
      <c r="AQ8" s="353">
        <v>0</v>
      </c>
      <c r="AR8" s="353">
        <v>0</v>
      </c>
      <c r="AS8" s="353">
        <v>0</v>
      </c>
      <c r="AT8" s="353">
        <v>0</v>
      </c>
      <c r="AU8" s="353">
        <v>0</v>
      </c>
      <c r="AV8" s="353">
        <v>0</v>
      </c>
      <c r="AW8" s="353">
        <v>0</v>
      </c>
      <c r="AX8" s="353">
        <v>0.47067015231339071</v>
      </c>
      <c r="AY8" s="353">
        <v>0.99999997332340629</v>
      </c>
      <c r="AZ8" s="353">
        <v>0.99999997332340629</v>
      </c>
      <c r="BA8" s="353">
        <v>0</v>
      </c>
      <c r="BB8" s="353">
        <v>0.1368228173371111</v>
      </c>
      <c r="BC8" s="353">
        <v>0</v>
      </c>
      <c r="BD8" s="353">
        <v>0</v>
      </c>
      <c r="BE8" s="353">
        <v>0</v>
      </c>
      <c r="BF8" s="353">
        <v>0</v>
      </c>
      <c r="BG8" s="353">
        <v>0</v>
      </c>
      <c r="BH8" s="353">
        <v>0</v>
      </c>
      <c r="BI8" s="353">
        <v>0.99999997332340629</v>
      </c>
      <c r="BJ8" s="353">
        <v>0</v>
      </c>
      <c r="BK8" s="353">
        <v>0.99999997332340629</v>
      </c>
      <c r="BL8" s="353">
        <v>0</v>
      </c>
      <c r="BM8" s="353">
        <v>0</v>
      </c>
      <c r="BN8" s="353">
        <v>0</v>
      </c>
      <c r="BO8" s="353">
        <v>0</v>
      </c>
      <c r="BP8" s="353">
        <v>0</v>
      </c>
      <c r="BQ8" s="353">
        <v>0</v>
      </c>
      <c r="BR8" s="353">
        <v>0</v>
      </c>
      <c r="BS8" s="353">
        <v>0.70660409132159185</v>
      </c>
      <c r="BT8" s="353">
        <v>0.70660409132159185</v>
      </c>
      <c r="BU8" s="353">
        <v>0</v>
      </c>
      <c r="BV8" s="353">
        <v>0</v>
      </c>
      <c r="BW8" s="353">
        <v>0.99999997332340629</v>
      </c>
      <c r="BX8" s="353">
        <v>0</v>
      </c>
      <c r="BY8" s="353">
        <v>0</v>
      </c>
      <c r="BZ8" s="353">
        <v>0.30328275225902729</v>
      </c>
      <c r="CA8" s="353">
        <v>0</v>
      </c>
      <c r="CB8" s="353">
        <v>0</v>
      </c>
      <c r="CC8" s="353">
        <v>0</v>
      </c>
      <c r="CD8" s="353">
        <v>0</v>
      </c>
      <c r="CE8" s="353">
        <v>0.39250700367290448</v>
      </c>
      <c r="CF8" s="353">
        <v>0.1368228173371111</v>
      </c>
      <c r="CG8" s="353">
        <v>0.70660409132159185</v>
      </c>
      <c r="CH8" s="353">
        <v>0.47067015231339071</v>
      </c>
      <c r="CI8" s="353">
        <v>0.99999997332340629</v>
      </c>
      <c r="CJ8" s="353">
        <v>0.99999997332340629</v>
      </c>
      <c r="CK8" s="353">
        <v>0</v>
      </c>
      <c r="CL8" s="353">
        <v>0</v>
      </c>
      <c r="CM8" s="353">
        <v>0</v>
      </c>
      <c r="CN8" s="353">
        <v>0</v>
      </c>
      <c r="CO8" s="353">
        <v>0</v>
      </c>
      <c r="CP8" s="353">
        <v>0</v>
      </c>
      <c r="CQ8" s="353">
        <v>0</v>
      </c>
      <c r="CR8" s="353">
        <v>0</v>
      </c>
      <c r="CS8" s="353">
        <v>0</v>
      </c>
      <c r="CT8" s="353">
        <v>0</v>
      </c>
      <c r="CU8" s="353">
        <v>0</v>
      </c>
      <c r="CV8" s="353">
        <v>0</v>
      </c>
      <c r="CW8" s="353">
        <v>0</v>
      </c>
      <c r="CX8" s="353">
        <v>0</v>
      </c>
      <c r="CY8" s="353">
        <v>0</v>
      </c>
      <c r="CZ8" s="353">
        <v>0</v>
      </c>
      <c r="DA8" s="353">
        <v>0</v>
      </c>
      <c r="DB8" s="353">
        <v>0</v>
      </c>
      <c r="DC8" s="353">
        <v>0.31409708764868732</v>
      </c>
      <c r="DD8" s="353">
        <v>0</v>
      </c>
      <c r="DE8" s="353">
        <v>0.60749296965050181</v>
      </c>
      <c r="DF8" s="353">
        <v>0</v>
      </c>
      <c r="DG8" s="353">
        <v>0.99999997332340629</v>
      </c>
      <c r="DH8" s="353">
        <v>0</v>
      </c>
      <c r="DI8" s="353">
        <v>0</v>
      </c>
      <c r="DJ8" s="353">
        <v>0</v>
      </c>
      <c r="DK8" s="353">
        <v>0</v>
      </c>
      <c r="DL8" s="353">
        <v>0</v>
      </c>
      <c r="DM8" s="353">
        <v>0</v>
      </c>
      <c r="DN8" s="353">
        <v>0</v>
      </c>
      <c r="DO8" s="353">
        <v>0.1368228173371111</v>
      </c>
      <c r="DP8" s="353">
        <v>0</v>
      </c>
      <c r="DQ8" s="353">
        <v>0.2260470687509884</v>
      </c>
      <c r="DR8" s="353">
        <v>0.99999997332340629</v>
      </c>
      <c r="DS8" s="353">
        <v>0</v>
      </c>
      <c r="DT8" s="353">
        <v>0</v>
      </c>
      <c r="DU8" s="353">
        <v>0</v>
      </c>
      <c r="DV8" s="353">
        <v>0</v>
      </c>
      <c r="DW8" s="353">
        <v>0</v>
      </c>
      <c r="DX8" s="353">
        <v>0</v>
      </c>
      <c r="DY8" s="353">
        <v>0</v>
      </c>
      <c r="DZ8" s="353">
        <v>0</v>
      </c>
      <c r="EA8" s="353">
        <v>0</v>
      </c>
      <c r="EB8" s="353">
        <v>0</v>
      </c>
      <c r="EC8" s="353">
        <v>0</v>
      </c>
      <c r="ED8" s="353">
        <v>0</v>
      </c>
      <c r="EE8" s="353">
        <v>0</v>
      </c>
      <c r="EF8" s="353">
        <v>0</v>
      </c>
      <c r="EG8" s="353">
        <v>0.1368228173371111</v>
      </c>
      <c r="EH8" s="353">
        <v>0</v>
      </c>
      <c r="EI8" s="353">
        <v>0</v>
      </c>
      <c r="EJ8" s="353">
        <v>0</v>
      </c>
      <c r="EK8" s="353">
        <v>0</v>
      </c>
      <c r="EL8" s="353">
        <v>0</v>
      </c>
      <c r="EM8" s="353">
        <v>0</v>
      </c>
      <c r="EN8" s="353">
        <v>0.3628698860880995</v>
      </c>
      <c r="EO8" s="353">
        <v>0.70660409132159185</v>
      </c>
      <c r="EP8" s="353">
        <v>0.16645993492191619</v>
      </c>
      <c r="EQ8" s="353">
        <v>0</v>
      </c>
      <c r="ER8" s="353">
        <v>0</v>
      </c>
      <c r="ES8" s="353">
        <v>0</v>
      </c>
      <c r="ET8" s="353">
        <v>0</v>
      </c>
      <c r="EU8" s="353">
        <v>0</v>
      </c>
      <c r="EV8" s="353">
        <v>0.2260470687509884</v>
      </c>
      <c r="EW8" s="353">
        <v>0</v>
      </c>
      <c r="EX8" s="353">
        <v>0</v>
      </c>
      <c r="EY8" s="353">
        <v>0.70660409132159185</v>
      </c>
      <c r="EZ8" s="353">
        <v>0</v>
      </c>
      <c r="FA8" s="353">
        <v>0.16645993492191619</v>
      </c>
      <c r="FB8" s="353">
        <v>0.99999997332340629</v>
      </c>
      <c r="FC8" s="353">
        <v>0.29339588200181438</v>
      </c>
      <c r="FD8" s="353">
        <v>0</v>
      </c>
      <c r="FE8" s="353">
        <v>0</v>
      </c>
      <c r="FF8" s="353">
        <v>0.1368228173371111</v>
      </c>
      <c r="FG8" s="353">
        <v>0</v>
      </c>
      <c r="FH8" s="353">
        <v>0</v>
      </c>
      <c r="FI8" s="353">
        <v>0</v>
      </c>
      <c r="FJ8" s="353">
        <v>0</v>
      </c>
      <c r="FK8" s="353">
        <v>0</v>
      </c>
      <c r="FL8" s="353">
        <v>0.52932982101001569</v>
      </c>
      <c r="FM8" s="353">
        <v>0</v>
      </c>
      <c r="FN8" s="353">
        <v>0.82272570301183012</v>
      </c>
      <c r="FO8" s="353">
        <v>0</v>
      </c>
      <c r="FP8" s="353">
        <v>0</v>
      </c>
      <c r="FQ8" s="353">
        <v>0</v>
      </c>
      <c r="FR8" s="353">
        <v>0</v>
      </c>
      <c r="FS8" s="353">
        <v>0</v>
      </c>
      <c r="FT8" s="353">
        <v>0</v>
      </c>
      <c r="FU8" s="353">
        <v>0</v>
      </c>
      <c r="FV8" s="353">
        <v>0</v>
      </c>
      <c r="FW8" s="353">
        <v>0.39250700367290448</v>
      </c>
      <c r="FX8" s="353">
        <v>0</v>
      </c>
      <c r="FY8" s="353">
        <v>0</v>
      </c>
      <c r="FZ8" s="353">
        <v>0</v>
      </c>
      <c r="GA8" s="353">
        <v>0</v>
      </c>
      <c r="GB8" s="353">
        <v>0</v>
      </c>
      <c r="GC8" s="353">
        <v>0</v>
      </c>
      <c r="GD8" s="353">
        <v>0</v>
      </c>
      <c r="GE8" s="353">
        <v>0</v>
      </c>
      <c r="GF8" s="353">
        <v>0</v>
      </c>
      <c r="GG8" s="353">
        <v>0</v>
      </c>
      <c r="GH8" s="353">
        <v>0</v>
      </c>
      <c r="GI8" s="353">
        <v>0</v>
      </c>
      <c r="GJ8" s="353">
        <v>0</v>
      </c>
      <c r="GK8" s="353">
        <v>0</v>
      </c>
      <c r="GL8" s="353">
        <v>0</v>
      </c>
      <c r="GM8" s="353">
        <v>0.29339588200181438</v>
      </c>
      <c r="GN8" s="353">
        <v>0.51944295075280278</v>
      </c>
      <c r="GO8" s="353">
        <v>0</v>
      </c>
      <c r="GP8" s="353">
        <v>0</v>
      </c>
      <c r="GQ8" s="353">
        <v>0</v>
      </c>
      <c r="GR8" s="353">
        <v>0</v>
      </c>
      <c r="GS8" s="353">
        <v>0</v>
      </c>
      <c r="GT8" s="353">
        <v>0</v>
      </c>
      <c r="GU8" s="353">
        <v>0</v>
      </c>
      <c r="GV8" s="353">
        <v>0</v>
      </c>
      <c r="GW8" s="353">
        <v>0</v>
      </c>
      <c r="GX8" s="353">
        <v>0.99999997332340629</v>
      </c>
      <c r="GY8" s="353">
        <v>0.99999997332340629</v>
      </c>
      <c r="GZ8" s="353">
        <v>0.99999997332340629</v>
      </c>
      <c r="HA8" s="353">
        <v>0</v>
      </c>
      <c r="HB8" s="353">
        <v>0</v>
      </c>
      <c r="HC8" s="353">
        <v>0</v>
      </c>
      <c r="HD8" s="353">
        <v>0</v>
      </c>
      <c r="HE8" s="353">
        <v>0</v>
      </c>
      <c r="HF8" s="353">
        <v>0</v>
      </c>
      <c r="HG8" s="353">
        <v>0.70660409132159185</v>
      </c>
      <c r="HH8" s="353">
        <v>0</v>
      </c>
      <c r="HI8" s="353">
        <v>0</v>
      </c>
      <c r="HJ8" s="353">
        <v>0</v>
      </c>
      <c r="HK8" s="353">
        <v>0</v>
      </c>
      <c r="HL8" s="353">
        <v>0</v>
      </c>
      <c r="HM8" s="353">
        <v>0</v>
      </c>
      <c r="HN8" s="353">
        <v>0</v>
      </c>
      <c r="HO8" s="353">
        <v>0</v>
      </c>
      <c r="HP8" s="353">
        <v>0</v>
      </c>
      <c r="HQ8" s="353">
        <v>0</v>
      </c>
      <c r="HR8" s="353">
        <v>0</v>
      </c>
      <c r="HS8" s="353">
        <v>0</v>
      </c>
      <c r="HT8" s="353">
        <v>0</v>
      </c>
      <c r="HU8" s="353">
        <v>0</v>
      </c>
      <c r="HV8" s="353">
        <v>0</v>
      </c>
      <c r="HW8" s="353">
        <v>0.82272570301183012</v>
      </c>
      <c r="HX8" s="353">
        <v>0</v>
      </c>
      <c r="HY8" s="353">
        <v>0</v>
      </c>
      <c r="HZ8" s="353">
        <v>0</v>
      </c>
      <c r="IA8" s="353">
        <v>0</v>
      </c>
      <c r="IB8" s="353">
        <v>0</v>
      </c>
      <c r="IC8" s="353">
        <v>0</v>
      </c>
      <c r="ID8" s="353">
        <v>0</v>
      </c>
      <c r="IE8" s="353">
        <v>0</v>
      </c>
      <c r="IF8" s="353">
        <v>0</v>
      </c>
      <c r="IG8" s="353">
        <v>0</v>
      </c>
      <c r="IH8" s="353">
        <v>0</v>
      </c>
      <c r="II8" s="353">
        <v>0</v>
      </c>
      <c r="IJ8" s="353">
        <v>0</v>
      </c>
      <c r="IK8" s="353">
        <v>0</v>
      </c>
      <c r="IL8" s="353">
        <v>0</v>
      </c>
      <c r="IM8" s="353">
        <v>0</v>
      </c>
      <c r="IN8" s="353">
        <v>0</v>
      </c>
      <c r="IO8" s="353">
        <v>0</v>
      </c>
      <c r="IP8" s="353">
        <v>0</v>
      </c>
      <c r="IQ8" s="353">
        <v>0</v>
      </c>
      <c r="IR8" s="353">
        <v>0</v>
      </c>
      <c r="IS8" s="353">
        <v>0</v>
      </c>
      <c r="IT8" s="353">
        <v>0.99999997332340629</v>
      </c>
      <c r="IU8" s="353">
        <v>0.99999997332340629</v>
      </c>
      <c r="IV8" s="353">
        <v>0</v>
      </c>
      <c r="IW8" s="353">
        <v>0</v>
      </c>
      <c r="IX8" s="353">
        <v>0</v>
      </c>
      <c r="IY8" s="353">
        <v>0</v>
      </c>
      <c r="IZ8" s="353">
        <v>0</v>
      </c>
      <c r="JA8" s="353">
        <v>0</v>
      </c>
      <c r="JB8" s="353">
        <v>0</v>
      </c>
      <c r="JC8" s="353">
        <v>0</v>
      </c>
      <c r="JD8" s="353">
        <v>0</v>
      </c>
      <c r="JE8" s="353">
        <v>0.86317715598629519</v>
      </c>
      <c r="JF8" s="353">
        <v>0</v>
      </c>
      <c r="JG8" s="353">
        <v>0.86317715598629519</v>
      </c>
      <c r="JH8" s="353">
        <v>0.51944295075280278</v>
      </c>
      <c r="JI8" s="353">
        <v>0</v>
      </c>
      <c r="JJ8" s="353">
        <v>0</v>
      </c>
      <c r="JK8" s="353">
        <v>0</v>
      </c>
      <c r="JL8" s="353">
        <v>0</v>
      </c>
      <c r="JM8" s="353">
        <v>0</v>
      </c>
      <c r="JN8" s="353">
        <v>0</v>
      </c>
      <c r="JO8" s="353">
        <v>0</v>
      </c>
      <c r="JP8" s="353">
        <v>0</v>
      </c>
      <c r="JQ8" s="353">
        <v>0.2260470687509884</v>
      </c>
      <c r="JR8" s="354">
        <v>0.99999997332340629</v>
      </c>
      <c r="JS8" s="353">
        <v>0</v>
      </c>
      <c r="JT8" s="353">
        <v>0</v>
      </c>
      <c r="JU8" s="353">
        <v>0</v>
      </c>
      <c r="JV8" s="353">
        <v>0</v>
      </c>
      <c r="JW8" s="353">
        <v>0</v>
      </c>
      <c r="JX8" s="353">
        <v>0</v>
      </c>
      <c r="JY8" s="353">
        <v>0</v>
      </c>
      <c r="JZ8" s="353">
        <v>0</v>
      </c>
      <c r="KA8" s="353">
        <v>0</v>
      </c>
      <c r="KB8" s="353">
        <v>0</v>
      </c>
      <c r="KC8" s="353">
        <v>0.34373420523349241</v>
      </c>
      <c r="KD8" s="353">
        <v>0.99999997332340629</v>
      </c>
      <c r="KE8" s="353">
        <v>0</v>
      </c>
      <c r="KF8" s="353">
        <v>0</v>
      </c>
      <c r="KG8" s="353">
        <v>0</v>
      </c>
      <c r="KH8" s="353">
        <v>0</v>
      </c>
      <c r="KI8" s="353">
        <v>0</v>
      </c>
      <c r="KJ8" s="353">
        <v>0</v>
      </c>
      <c r="KK8" s="353">
        <v>0</v>
      </c>
      <c r="KL8" s="353">
        <v>0</v>
      </c>
      <c r="KM8" s="353">
        <v>0</v>
      </c>
      <c r="KN8" s="353">
        <v>0</v>
      </c>
      <c r="KO8" s="353">
        <v>0.56978127398448075</v>
      </c>
      <c r="KP8" s="353">
        <v>0.99999997332340629</v>
      </c>
      <c r="KQ8" s="353">
        <v>0</v>
      </c>
      <c r="KR8" s="353">
        <v>0</v>
      </c>
      <c r="KS8" s="353">
        <v>0.99999997332340629</v>
      </c>
      <c r="KT8" s="353">
        <v>0</v>
      </c>
      <c r="KU8" s="353">
        <v>0</v>
      </c>
      <c r="KV8" s="353">
        <v>0</v>
      </c>
      <c r="KW8" s="353">
        <v>0</v>
      </c>
      <c r="KX8" s="353">
        <v>0</v>
      </c>
      <c r="KY8" s="353">
        <v>0.48055702257060351</v>
      </c>
      <c r="KZ8" s="353">
        <v>0</v>
      </c>
      <c r="LA8" s="353">
        <v>0.99999997332340629</v>
      </c>
      <c r="LB8" s="353">
        <v>0</v>
      </c>
      <c r="LC8" s="353">
        <v>0.51944295075280278</v>
      </c>
      <c r="LD8" s="353">
        <v>0</v>
      </c>
      <c r="LE8" s="353">
        <v>0</v>
      </c>
      <c r="LF8" s="353">
        <v>0</v>
      </c>
      <c r="LG8" s="353">
        <v>0</v>
      </c>
      <c r="LH8" s="353">
        <v>0</v>
      </c>
      <c r="LI8" s="353">
        <v>0</v>
      </c>
      <c r="LJ8" s="353">
        <v>0</v>
      </c>
      <c r="LK8" s="353">
        <v>0.99999997332340629</v>
      </c>
      <c r="LL8" s="353">
        <v>0.2260470687509884</v>
      </c>
      <c r="LM8" s="353">
        <v>0</v>
      </c>
      <c r="LN8" s="353">
        <v>0.99999997332340629</v>
      </c>
      <c r="LO8" s="353">
        <v>0</v>
      </c>
      <c r="LP8" s="353">
        <v>0.99999997332340629</v>
      </c>
      <c r="LQ8" s="353">
        <v>0</v>
      </c>
      <c r="LR8" s="353">
        <v>0</v>
      </c>
      <c r="LS8" s="353">
        <v>0</v>
      </c>
      <c r="LT8" s="353">
        <v>0</v>
      </c>
      <c r="LU8" s="353">
        <v>0</v>
      </c>
      <c r="LV8" s="353">
        <v>0</v>
      </c>
      <c r="LW8" s="353">
        <v>0.70660409132159185</v>
      </c>
      <c r="LX8" s="353">
        <v>0.99999997332340629</v>
      </c>
      <c r="LY8" s="353">
        <v>0.2260470687509884</v>
      </c>
      <c r="LZ8" s="353">
        <v>0</v>
      </c>
      <c r="MA8" s="353">
        <v>0</v>
      </c>
      <c r="MB8" s="353">
        <v>0</v>
      </c>
      <c r="MC8" s="353">
        <v>0.2260470687509884</v>
      </c>
      <c r="MD8" s="353">
        <v>0</v>
      </c>
      <c r="ME8" s="353">
        <v>0</v>
      </c>
      <c r="MF8" s="353">
        <v>0</v>
      </c>
      <c r="MG8" s="353">
        <v>0</v>
      </c>
      <c r="MH8" s="353">
        <v>0</v>
      </c>
      <c r="MI8" s="353">
        <v>0</v>
      </c>
      <c r="MJ8" s="353">
        <v>0.2260470687509884</v>
      </c>
      <c r="MK8" s="353">
        <v>0</v>
      </c>
      <c r="ML8" s="353">
        <v>0.99999997332340629</v>
      </c>
      <c r="MM8" s="353">
        <v>0.69671722106437906</v>
      </c>
      <c r="MN8" s="353">
        <v>0</v>
      </c>
      <c r="MO8" s="353">
        <v>0</v>
      </c>
      <c r="MP8" s="353">
        <v>0</v>
      </c>
      <c r="MQ8" s="353">
        <v>0</v>
      </c>
      <c r="MR8" s="353">
        <v>0</v>
      </c>
      <c r="MS8" s="353">
        <v>0</v>
      </c>
      <c r="MT8" s="353">
        <v>0</v>
      </c>
      <c r="MU8" s="353">
        <v>0.17727427031157619</v>
      </c>
      <c r="MV8" s="353">
        <v>0</v>
      </c>
      <c r="MW8" s="353">
        <v>0</v>
      </c>
      <c r="MX8" s="353">
        <v>0.69671722106437906</v>
      </c>
      <c r="MY8" s="353">
        <v>0</v>
      </c>
      <c r="MZ8" s="353">
        <v>0</v>
      </c>
      <c r="NA8" s="353">
        <v>0</v>
      </c>
      <c r="NB8" s="353">
        <v>0</v>
      </c>
      <c r="NC8" s="353">
        <v>0</v>
      </c>
      <c r="ND8" s="353">
        <v>0</v>
      </c>
      <c r="NE8" s="353">
        <v>0</v>
      </c>
      <c r="NF8" s="353">
        <v>0.56978127398448075</v>
      </c>
      <c r="NG8" s="353">
        <v>0.70660409132159185</v>
      </c>
      <c r="NH8" s="353">
        <v>0</v>
      </c>
      <c r="NI8" s="353">
        <v>0.52932982101001569</v>
      </c>
      <c r="NJ8" s="353">
        <v>0</v>
      </c>
      <c r="NK8" s="353">
        <v>0</v>
      </c>
      <c r="NL8" s="353">
        <v>0</v>
      </c>
      <c r="NM8" s="353">
        <v>0</v>
      </c>
      <c r="NN8" s="353">
        <v>0</v>
      </c>
      <c r="NO8" s="353">
        <v>0</v>
      </c>
      <c r="NP8" s="353">
        <v>0</v>
      </c>
      <c r="NQ8" s="353">
        <v>0</v>
      </c>
      <c r="NR8" s="353">
        <v>0</v>
      </c>
      <c r="NS8" s="353">
        <v>0</v>
      </c>
      <c r="NT8" s="353">
        <v>0</v>
      </c>
      <c r="NU8" s="353">
        <v>0</v>
      </c>
      <c r="NV8" s="353">
        <v>0.99999997332340629</v>
      </c>
      <c r="NW8" s="353">
        <v>0</v>
      </c>
      <c r="NX8" s="353">
        <v>0</v>
      </c>
      <c r="NY8" s="353">
        <v>0</v>
      </c>
      <c r="NZ8" s="353">
        <v>0</v>
      </c>
      <c r="OA8" s="353">
        <v>0</v>
      </c>
      <c r="OB8" s="353">
        <v>0</v>
      </c>
      <c r="OC8" s="353">
        <v>0</v>
      </c>
      <c r="OD8" s="353">
        <v>0</v>
      </c>
      <c r="OE8" s="353">
        <v>0</v>
      </c>
      <c r="OF8" s="353">
        <v>0</v>
      </c>
      <c r="OG8" s="353">
        <v>0</v>
      </c>
      <c r="OH8" s="353">
        <v>0.99999997332340629</v>
      </c>
      <c r="OI8" s="353">
        <v>0.29339588200181438</v>
      </c>
      <c r="OJ8" s="353">
        <v>0</v>
      </c>
      <c r="OK8" s="353">
        <v>0</v>
      </c>
      <c r="OL8" s="353">
        <v>0</v>
      </c>
      <c r="OM8" s="353">
        <v>0</v>
      </c>
      <c r="ON8" s="353">
        <v>0</v>
      </c>
      <c r="OO8" s="353">
        <v>0</v>
      </c>
      <c r="OP8" s="353">
        <v>0</v>
      </c>
      <c r="OQ8" s="353">
        <v>0.99999997332340629</v>
      </c>
      <c r="OR8" s="353">
        <v>0.56978127398448075</v>
      </c>
      <c r="OS8" s="353">
        <v>0</v>
      </c>
      <c r="OT8" s="353">
        <v>0.2260470687509884</v>
      </c>
      <c r="OU8" s="353">
        <v>0.83354003840149016</v>
      </c>
      <c r="OV8" s="353">
        <v>0</v>
      </c>
      <c r="OW8" s="353">
        <v>0</v>
      </c>
      <c r="OX8" s="353">
        <v>0.3628698860880995</v>
      </c>
      <c r="OY8" s="353">
        <v>0</v>
      </c>
      <c r="OZ8" s="353">
        <v>0</v>
      </c>
      <c r="PA8" s="353">
        <v>0</v>
      </c>
      <c r="PB8" s="353">
        <v>0</v>
      </c>
      <c r="PC8" s="353">
        <v>0.70660409132159185</v>
      </c>
      <c r="PD8" s="353">
        <v>0.3628698860880995</v>
      </c>
      <c r="PE8" s="353">
        <v>0.39250700367290448</v>
      </c>
      <c r="PF8" s="353">
        <v>0</v>
      </c>
      <c r="PG8" s="353">
        <v>0</v>
      </c>
      <c r="PH8" s="353">
        <v>0</v>
      </c>
      <c r="PI8" s="353">
        <v>0</v>
      </c>
      <c r="PJ8" s="353">
        <v>0</v>
      </c>
      <c r="PK8" s="353">
        <v>0</v>
      </c>
      <c r="PL8" s="353">
        <v>0</v>
      </c>
      <c r="PM8" s="353">
        <v>0</v>
      </c>
      <c r="PN8" s="353">
        <v>0</v>
      </c>
      <c r="PO8" s="353">
        <v>0</v>
      </c>
      <c r="PP8" s="353">
        <v>0</v>
      </c>
      <c r="PQ8" s="353">
        <v>0</v>
      </c>
      <c r="PR8" s="353">
        <v>0.86317715598629519</v>
      </c>
      <c r="PS8" s="353">
        <v>0</v>
      </c>
      <c r="PT8" s="353">
        <v>0</v>
      </c>
      <c r="PU8" s="353">
        <v>0</v>
      </c>
      <c r="PV8" s="353">
        <v>0</v>
      </c>
      <c r="PW8" s="353">
        <v>0</v>
      </c>
      <c r="PX8" s="353">
        <v>0</v>
      </c>
      <c r="PY8" s="353">
        <v>0</v>
      </c>
      <c r="PZ8" s="353">
        <v>0</v>
      </c>
      <c r="QA8" s="353">
        <v>0</v>
      </c>
      <c r="QB8" s="353">
        <v>0</v>
      </c>
      <c r="QC8" s="353">
        <v>0.40332133906256462</v>
      </c>
      <c r="QD8" s="353">
        <v>0.99999997332340629</v>
      </c>
      <c r="QE8" s="353">
        <v>0.29339588200181438</v>
      </c>
      <c r="QF8" s="353">
        <v>0.2260470687509884</v>
      </c>
      <c r="QG8" s="353">
        <v>0</v>
      </c>
      <c r="QH8" s="353">
        <v>0.1368228173371111</v>
      </c>
      <c r="QI8" s="353">
        <v>0</v>
      </c>
      <c r="QJ8" s="353">
        <v>0</v>
      </c>
      <c r="QK8" s="353">
        <v>0</v>
      </c>
      <c r="QL8" s="353">
        <v>0</v>
      </c>
      <c r="QM8" s="353">
        <v>0</v>
      </c>
      <c r="QN8" s="353">
        <v>0</v>
      </c>
      <c r="QO8" s="353">
        <v>0.40332133906256462</v>
      </c>
      <c r="QP8" s="353">
        <v>0.99999997332340629</v>
      </c>
      <c r="QQ8" s="353">
        <v>0.82272570301183012</v>
      </c>
      <c r="QR8" s="353">
        <v>0</v>
      </c>
      <c r="QS8" s="353">
        <v>0</v>
      </c>
      <c r="QT8" s="353">
        <v>0.1368228173371111</v>
      </c>
      <c r="QU8" s="353">
        <v>0</v>
      </c>
      <c r="QV8" s="353">
        <v>0</v>
      </c>
      <c r="QW8" s="353">
        <v>0</v>
      </c>
      <c r="QX8" s="353">
        <v>0.40332133906256462</v>
      </c>
      <c r="QY8" s="353">
        <v>0.99999997332340629</v>
      </c>
      <c r="QZ8" s="353">
        <v>0</v>
      </c>
      <c r="RA8" s="353">
        <v>0.99999997332340629</v>
      </c>
      <c r="RB8" s="353">
        <v>0</v>
      </c>
      <c r="RC8" s="353">
        <v>0.99999997332340629</v>
      </c>
      <c r="RD8" s="353">
        <v>0</v>
      </c>
      <c r="RE8" s="353">
        <v>0</v>
      </c>
      <c r="RF8" s="353">
        <v>0</v>
      </c>
      <c r="RG8" s="353">
        <v>0</v>
      </c>
      <c r="RH8" s="353">
        <v>0</v>
      </c>
      <c r="RI8" s="353">
        <v>0</v>
      </c>
      <c r="RJ8" s="353">
        <v>0</v>
      </c>
      <c r="RK8" s="353">
        <v>0</v>
      </c>
      <c r="RL8" s="353">
        <v>0</v>
      </c>
      <c r="RM8" s="353">
        <v>0.39250700367290448</v>
      </c>
      <c r="RN8" s="353">
        <v>0.99999997332340629</v>
      </c>
      <c r="RO8" s="353">
        <v>0.86317715598629519</v>
      </c>
      <c r="RP8" s="353">
        <v>0</v>
      </c>
      <c r="RQ8" s="353">
        <v>0</v>
      </c>
      <c r="RR8" s="353">
        <v>0</v>
      </c>
      <c r="RS8" s="353">
        <v>0</v>
      </c>
      <c r="RT8" s="353">
        <v>0</v>
      </c>
      <c r="RU8" s="353">
        <v>0</v>
      </c>
      <c r="RV8" s="353">
        <v>0</v>
      </c>
      <c r="RW8" s="353">
        <v>0</v>
      </c>
      <c r="RX8" s="353">
        <v>0</v>
      </c>
      <c r="RY8" s="353">
        <v>0</v>
      </c>
      <c r="RZ8" s="353">
        <v>0.99999997332340629</v>
      </c>
      <c r="SA8" s="353">
        <v>0</v>
      </c>
      <c r="SB8" s="353">
        <v>0</v>
      </c>
      <c r="SC8" s="353">
        <v>0</v>
      </c>
      <c r="SD8" s="353">
        <v>0</v>
      </c>
      <c r="SE8" s="353">
        <v>0</v>
      </c>
      <c r="SF8" s="353">
        <v>0</v>
      </c>
      <c r="SG8" s="353">
        <v>0</v>
      </c>
      <c r="SH8" s="353">
        <v>0</v>
      </c>
      <c r="SI8" s="353">
        <v>0.2260470687509884</v>
      </c>
      <c r="SJ8" s="353">
        <v>0</v>
      </c>
      <c r="SK8" s="353">
        <v>0.70660409132159185</v>
      </c>
      <c r="SL8" s="353">
        <v>0.99999997332340629</v>
      </c>
      <c r="SM8" s="353">
        <v>0.29339588200181438</v>
      </c>
      <c r="SN8" s="353">
        <v>0</v>
      </c>
      <c r="SO8" s="353">
        <v>0</v>
      </c>
      <c r="SP8" s="353">
        <v>0.40332133906256462</v>
      </c>
      <c r="SQ8" s="353">
        <v>0</v>
      </c>
      <c r="SR8" s="353">
        <v>0</v>
      </c>
      <c r="SS8" s="353">
        <v>0</v>
      </c>
      <c r="ST8" s="353">
        <v>0</v>
      </c>
      <c r="SU8" s="353">
        <v>0</v>
      </c>
      <c r="SV8" s="353">
        <v>0.2260470687509884</v>
      </c>
      <c r="SW8" s="353">
        <v>0.2260470687509884</v>
      </c>
      <c r="SX8" s="353">
        <v>0.86317715598629519</v>
      </c>
      <c r="SY8" s="353">
        <v>0.86317715598629519</v>
      </c>
      <c r="SZ8" s="353">
        <v>0</v>
      </c>
      <c r="TA8" s="353">
        <v>0</v>
      </c>
      <c r="TB8" s="353">
        <v>0</v>
      </c>
      <c r="TC8" s="353">
        <v>0</v>
      </c>
      <c r="TD8" s="353">
        <v>0</v>
      </c>
      <c r="TE8" s="353">
        <v>0</v>
      </c>
      <c r="TF8" s="353">
        <v>0</v>
      </c>
      <c r="TG8" s="353">
        <v>0</v>
      </c>
      <c r="TH8" s="353">
        <v>0</v>
      </c>
      <c r="TI8" s="353">
        <v>0.99999997332340629</v>
      </c>
      <c r="TJ8" s="353">
        <v>0.99999997332340629</v>
      </c>
      <c r="TK8" s="353">
        <v>0</v>
      </c>
      <c r="TL8" s="353">
        <v>0</v>
      </c>
      <c r="TM8" s="353">
        <v>0</v>
      </c>
      <c r="TN8" s="353">
        <v>0</v>
      </c>
      <c r="TO8" s="353">
        <v>0</v>
      </c>
      <c r="TP8" s="353">
        <v>0</v>
      </c>
      <c r="TQ8" s="353">
        <v>0</v>
      </c>
      <c r="TR8" s="353">
        <v>0</v>
      </c>
      <c r="TS8" s="353">
        <v>0</v>
      </c>
      <c r="TT8" s="353">
        <v>0</v>
      </c>
      <c r="TU8" s="353">
        <v>0.17727427031157619</v>
      </c>
      <c r="TV8" s="353">
        <v>0.99999997332340629</v>
      </c>
      <c r="TW8" s="353">
        <v>0.99999997332340629</v>
      </c>
      <c r="TX8" s="353">
        <v>0</v>
      </c>
      <c r="TY8" s="353">
        <v>0.86317715598629519</v>
      </c>
      <c r="TZ8" s="353">
        <v>0.70660409132159185</v>
      </c>
      <c r="UA8" s="353">
        <v>0</v>
      </c>
      <c r="UB8" s="353">
        <v>0</v>
      </c>
      <c r="UC8" s="353">
        <v>0</v>
      </c>
      <c r="UD8" s="353">
        <v>0</v>
      </c>
      <c r="UE8" s="353">
        <v>0</v>
      </c>
      <c r="UF8" s="353">
        <v>0</v>
      </c>
      <c r="UG8" s="353">
        <v>0.56978127398448075</v>
      </c>
      <c r="UH8" s="353">
        <v>0</v>
      </c>
      <c r="UI8" s="353">
        <v>0</v>
      </c>
      <c r="UJ8" s="353">
        <v>0</v>
      </c>
      <c r="UK8" s="353">
        <v>0</v>
      </c>
      <c r="UL8" s="353">
        <v>0</v>
      </c>
      <c r="UM8" s="353">
        <v>0</v>
      </c>
      <c r="UN8" s="353">
        <v>0</v>
      </c>
      <c r="UO8" s="353">
        <v>0</v>
      </c>
      <c r="UP8" s="353">
        <v>0</v>
      </c>
      <c r="UQ8" s="353">
        <v>0</v>
      </c>
      <c r="UR8" s="353">
        <v>0</v>
      </c>
      <c r="US8" s="353">
        <v>0.2260470687509884</v>
      </c>
      <c r="UT8" s="353">
        <v>0</v>
      </c>
      <c r="UU8" s="353">
        <v>0</v>
      </c>
      <c r="UV8" s="353">
        <v>0</v>
      </c>
      <c r="UW8" s="353">
        <v>0</v>
      </c>
      <c r="UX8" s="353">
        <v>0</v>
      </c>
      <c r="UY8" s="353">
        <v>0.1368228173371111</v>
      </c>
      <c r="UZ8" s="353">
        <v>0</v>
      </c>
      <c r="VA8" s="353">
        <v>0</v>
      </c>
      <c r="VB8" s="353">
        <v>0</v>
      </c>
      <c r="VC8" s="353">
        <v>0</v>
      </c>
      <c r="VD8" s="353">
        <v>0</v>
      </c>
      <c r="VE8" s="353">
        <v>0.70660409132159185</v>
      </c>
      <c r="VF8" s="353">
        <v>0.99999997332340629</v>
      </c>
      <c r="VG8" s="353">
        <v>0</v>
      </c>
      <c r="VH8" s="353">
        <v>0.99999997332340629</v>
      </c>
      <c r="VI8" s="353">
        <v>0</v>
      </c>
      <c r="VJ8" s="353">
        <v>0</v>
      </c>
      <c r="VK8" s="353">
        <v>0</v>
      </c>
      <c r="VL8" s="353">
        <v>0</v>
      </c>
      <c r="VM8" s="353">
        <v>0</v>
      </c>
      <c r="VN8" s="353">
        <v>0</v>
      </c>
      <c r="VO8" s="353">
        <v>0.3628698860880995</v>
      </c>
      <c r="VP8" s="353">
        <v>0.39250700367290448</v>
      </c>
      <c r="VQ8" s="353">
        <v>0.17727427031157619</v>
      </c>
      <c r="VR8" s="353">
        <v>0.99999997332340629</v>
      </c>
      <c r="VS8" s="353">
        <v>0.99999997332340629</v>
      </c>
      <c r="VT8" s="353">
        <v>0</v>
      </c>
      <c r="VU8" s="353">
        <v>0</v>
      </c>
      <c r="VV8" s="353">
        <v>0</v>
      </c>
      <c r="VW8" s="353">
        <v>0</v>
      </c>
      <c r="VX8" s="353">
        <v>0</v>
      </c>
      <c r="VY8" s="353">
        <v>0</v>
      </c>
      <c r="VZ8" s="353">
        <v>0</v>
      </c>
      <c r="WA8" s="353">
        <v>0.99999997332340629</v>
      </c>
      <c r="WB8" s="353">
        <v>0.3628698860880995</v>
      </c>
      <c r="WC8" s="353">
        <v>0</v>
      </c>
      <c r="WD8" s="353">
        <v>0.99999997332340629</v>
      </c>
      <c r="WE8" s="353">
        <v>0.99999997332340629</v>
      </c>
      <c r="WF8" s="353">
        <v>0.99999997332340629</v>
      </c>
      <c r="WG8" s="353">
        <v>0</v>
      </c>
      <c r="WH8" s="353">
        <v>0</v>
      </c>
      <c r="WI8" s="353">
        <v>0</v>
      </c>
      <c r="WJ8" s="353">
        <v>0</v>
      </c>
      <c r="WK8" s="353">
        <v>0</v>
      </c>
      <c r="WL8" s="353">
        <v>0.2260470687509884</v>
      </c>
      <c r="WM8" s="353">
        <v>0.56978127398448075</v>
      </c>
      <c r="WN8" s="353">
        <v>0.40332133906256462</v>
      </c>
      <c r="WO8" s="353">
        <v>0.2260470687509884</v>
      </c>
      <c r="WP8" s="353">
        <v>0.99999997332340629</v>
      </c>
      <c r="WQ8" s="353">
        <v>0.99999997332340629</v>
      </c>
      <c r="WR8" s="353">
        <v>0</v>
      </c>
      <c r="WS8" s="353">
        <v>0</v>
      </c>
      <c r="WT8" s="353">
        <v>0</v>
      </c>
      <c r="WU8" s="353">
        <v>0</v>
      </c>
      <c r="WV8" s="353">
        <v>0</v>
      </c>
      <c r="WW8" s="353">
        <v>0</v>
      </c>
      <c r="WX8" s="353">
        <v>0</v>
      </c>
      <c r="WY8" s="353">
        <v>0</v>
      </c>
      <c r="WZ8" s="353">
        <v>0</v>
      </c>
      <c r="XA8" s="353">
        <v>0.99999997332340629</v>
      </c>
      <c r="XB8" s="353">
        <v>0.99999997332340629</v>
      </c>
      <c r="XC8" s="353">
        <v>0.2260470687509884</v>
      </c>
      <c r="XD8" s="353">
        <v>0</v>
      </c>
      <c r="XE8" s="353">
        <v>0</v>
      </c>
      <c r="XF8" s="353">
        <v>0</v>
      </c>
      <c r="XG8" s="353">
        <v>0</v>
      </c>
      <c r="XH8" s="353">
        <v>0</v>
      </c>
      <c r="XI8" s="353">
        <v>0</v>
      </c>
      <c r="XJ8" s="353">
        <v>0</v>
      </c>
      <c r="XK8" s="353">
        <v>0</v>
      </c>
      <c r="XL8" s="353">
        <v>0</v>
      </c>
      <c r="XM8" s="353">
        <v>0.3628698860880995</v>
      </c>
      <c r="XN8" s="353">
        <v>0.99999997332340629</v>
      </c>
      <c r="XO8" s="353">
        <v>0</v>
      </c>
      <c r="XP8" s="353">
        <v>0</v>
      </c>
      <c r="XQ8" s="353">
        <v>0</v>
      </c>
      <c r="XR8" s="353">
        <v>0</v>
      </c>
      <c r="XS8" s="353">
        <v>0</v>
      </c>
      <c r="XT8" s="353">
        <v>0</v>
      </c>
      <c r="XU8" s="353">
        <v>0</v>
      </c>
      <c r="XV8" s="353">
        <v>0</v>
      </c>
      <c r="XW8" s="353">
        <v>0</v>
      </c>
      <c r="XX8" s="353">
        <v>0</v>
      </c>
      <c r="XY8" s="353">
        <v>0.3628698860880995</v>
      </c>
      <c r="XZ8" s="353">
        <v>0.99999997332340629</v>
      </c>
      <c r="YA8" s="353">
        <v>0.99999997332340629</v>
      </c>
      <c r="YB8" s="353">
        <v>0</v>
      </c>
      <c r="YC8" s="353">
        <v>0</v>
      </c>
      <c r="YD8" s="353">
        <v>0</v>
      </c>
      <c r="YE8" s="353">
        <v>0</v>
      </c>
      <c r="YF8" s="353">
        <v>0</v>
      </c>
      <c r="YG8" s="353">
        <v>0</v>
      </c>
      <c r="YH8" s="353">
        <v>0</v>
      </c>
      <c r="YI8" s="353">
        <v>0.70660409132159185</v>
      </c>
      <c r="YJ8" s="353">
        <v>0.70660409132159185</v>
      </c>
      <c r="YK8" s="353">
        <v>0</v>
      </c>
      <c r="YL8" s="353">
        <v>0.99999997332340629</v>
      </c>
      <c r="YM8" s="353">
        <v>0.29339588200181438</v>
      </c>
      <c r="YN8" s="353">
        <v>0.51944295075280278</v>
      </c>
      <c r="YO8" s="353">
        <v>0</v>
      </c>
      <c r="YP8" s="353">
        <v>0</v>
      </c>
      <c r="YQ8" s="353">
        <v>0</v>
      </c>
      <c r="YR8" s="353">
        <v>0</v>
      </c>
      <c r="YS8" s="353">
        <v>0</v>
      </c>
      <c r="YT8" s="353">
        <v>0.99999997332340629</v>
      </c>
      <c r="YU8" s="353">
        <v>0</v>
      </c>
      <c r="YV8" s="353">
        <v>0</v>
      </c>
      <c r="YW8" s="353">
        <v>0.99999997332340629</v>
      </c>
      <c r="YX8" s="353">
        <v>0.99999997332340629</v>
      </c>
      <c r="YY8" s="353">
        <v>0</v>
      </c>
      <c r="YZ8" s="353">
        <v>0</v>
      </c>
      <c r="ZA8" s="353">
        <v>0</v>
      </c>
      <c r="ZB8" s="353">
        <v>0</v>
      </c>
      <c r="ZC8" s="353">
        <v>0</v>
      </c>
      <c r="ZD8" s="353">
        <v>0</v>
      </c>
      <c r="ZE8" s="353">
        <v>0</v>
      </c>
      <c r="ZF8" s="353">
        <v>0</v>
      </c>
      <c r="ZG8" s="353">
        <v>0</v>
      </c>
      <c r="ZH8" s="353">
        <v>0.2260470687509884</v>
      </c>
      <c r="ZI8" s="353">
        <v>0.99999997332340629</v>
      </c>
      <c r="ZJ8" s="353">
        <v>0.86317715598629519</v>
      </c>
      <c r="ZK8" s="353">
        <v>0</v>
      </c>
      <c r="ZL8" s="353">
        <v>0</v>
      </c>
      <c r="ZM8" s="353">
        <v>0</v>
      </c>
      <c r="ZN8" s="353">
        <v>0.1368228173371111</v>
      </c>
      <c r="ZO8" s="353">
        <v>0</v>
      </c>
      <c r="ZP8" s="353">
        <v>0</v>
      </c>
      <c r="ZQ8" s="353">
        <v>0</v>
      </c>
      <c r="ZR8" s="353">
        <v>0</v>
      </c>
      <c r="ZS8" s="353">
        <v>0</v>
      </c>
      <c r="ZT8" s="353">
        <v>0</v>
      </c>
      <c r="ZU8" s="353">
        <v>0.83354003840149016</v>
      </c>
      <c r="ZV8" s="353">
        <v>0.99999997332340629</v>
      </c>
      <c r="ZW8" s="353">
        <v>0</v>
      </c>
      <c r="ZX8" s="353">
        <v>0</v>
      </c>
      <c r="ZY8" s="353">
        <v>0</v>
      </c>
      <c r="ZZ8" s="353">
        <v>0</v>
      </c>
      <c r="AAA8" s="353">
        <v>0</v>
      </c>
      <c r="AAB8" s="353">
        <v>0</v>
      </c>
      <c r="AAC8" s="353">
        <v>0</v>
      </c>
      <c r="AAD8" s="353">
        <v>0</v>
      </c>
      <c r="AAE8" s="353">
        <v>0</v>
      </c>
      <c r="AAF8" s="353">
        <v>0.99999997332340629</v>
      </c>
      <c r="AAG8" s="353">
        <v>0.99999997332340629</v>
      </c>
      <c r="AAH8" s="353">
        <v>0.99999997332340629</v>
      </c>
      <c r="AAI8" s="353">
        <v>0</v>
      </c>
      <c r="AAJ8" s="353">
        <v>0</v>
      </c>
      <c r="AAK8" s="353">
        <v>0</v>
      </c>
      <c r="AAL8" s="353">
        <v>0</v>
      </c>
      <c r="AAM8" s="353">
        <v>0</v>
      </c>
      <c r="AAN8" s="353">
        <v>0</v>
      </c>
      <c r="AAO8" s="353">
        <v>0</v>
      </c>
      <c r="AAP8" s="353">
        <v>0.34373420523349241</v>
      </c>
      <c r="AAQ8" s="353">
        <v>0</v>
      </c>
      <c r="AAR8" s="353">
        <v>0</v>
      </c>
      <c r="AAS8" s="353">
        <v>0.86317715598629519</v>
      </c>
      <c r="AAT8" s="353">
        <v>0.99999997332340629</v>
      </c>
      <c r="AAU8" s="353">
        <v>0</v>
      </c>
      <c r="AAV8" s="353">
        <v>0</v>
      </c>
      <c r="AAW8" s="353">
        <v>0</v>
      </c>
      <c r="AAX8" s="353">
        <v>0</v>
      </c>
      <c r="AAY8" s="353">
        <v>0</v>
      </c>
      <c r="AAZ8" s="353">
        <v>0</v>
      </c>
      <c r="ABA8" s="353">
        <v>0</v>
      </c>
      <c r="ABB8" s="353">
        <v>0.2260470687509884</v>
      </c>
      <c r="ABC8" s="353">
        <v>0.70660409132159185</v>
      </c>
      <c r="ABD8" s="353">
        <v>0.70660409132159185</v>
      </c>
      <c r="ABE8" s="353">
        <v>0.52932982101001569</v>
      </c>
      <c r="ABF8" s="353">
        <v>0</v>
      </c>
      <c r="ABG8" s="353">
        <v>0</v>
      </c>
      <c r="ABH8" s="353">
        <v>0</v>
      </c>
      <c r="ABI8" s="353">
        <v>0</v>
      </c>
      <c r="ABJ8" s="353">
        <v>0</v>
      </c>
      <c r="ABK8" s="353">
        <v>0</v>
      </c>
      <c r="ABL8" s="353">
        <v>0</v>
      </c>
      <c r="ABM8" s="353">
        <v>0</v>
      </c>
      <c r="ABN8" s="353">
        <v>0</v>
      </c>
      <c r="ABO8" s="353">
        <v>0</v>
      </c>
      <c r="ABP8" s="353">
        <v>0</v>
      </c>
      <c r="ABQ8" s="353">
        <v>0.99999997332340629</v>
      </c>
      <c r="ABR8" s="353">
        <v>0.99999997332340629</v>
      </c>
      <c r="ABS8" s="353">
        <v>0.86317715598629519</v>
      </c>
      <c r="ABT8" s="353">
        <v>0</v>
      </c>
      <c r="ABU8" s="353">
        <v>0</v>
      </c>
      <c r="ABV8" s="353">
        <v>0.70660409132159185</v>
      </c>
      <c r="ABW8" s="353">
        <v>0</v>
      </c>
      <c r="ABX8" s="353">
        <v>0</v>
      </c>
      <c r="ABY8" s="353">
        <v>0</v>
      </c>
      <c r="ABZ8" s="353">
        <v>0</v>
      </c>
      <c r="ACA8" s="353">
        <v>0</v>
      </c>
      <c r="ACB8" s="353">
        <v>0</v>
      </c>
      <c r="ACC8" s="353">
        <v>0</v>
      </c>
      <c r="ACD8" s="353">
        <v>0.99999997332340629</v>
      </c>
      <c r="ACE8" s="353">
        <v>0</v>
      </c>
      <c r="ACF8" s="353">
        <v>0</v>
      </c>
      <c r="ACG8" s="353">
        <v>0</v>
      </c>
      <c r="ACH8" s="353">
        <v>0</v>
      </c>
      <c r="ACI8" s="353">
        <v>0</v>
      </c>
      <c r="ACJ8" s="353">
        <v>0</v>
      </c>
      <c r="ACK8" s="353">
        <v>0</v>
      </c>
      <c r="ACL8" s="353">
        <v>0</v>
      </c>
      <c r="ACM8" s="353">
        <v>0</v>
      </c>
      <c r="ACN8" s="353">
        <v>0</v>
      </c>
      <c r="ACO8" s="353">
        <v>0.99999997332340629</v>
      </c>
      <c r="ACP8" s="353">
        <v>0.99999997332340629</v>
      </c>
      <c r="ACQ8" s="353">
        <v>0.2260470687509884</v>
      </c>
      <c r="ACR8" s="353">
        <v>0</v>
      </c>
      <c r="ACS8" s="353">
        <v>0.1368228173371111</v>
      </c>
      <c r="ACT8" s="353">
        <v>0</v>
      </c>
      <c r="ACU8" s="353">
        <v>0</v>
      </c>
      <c r="ACV8" s="353">
        <v>0</v>
      </c>
      <c r="ACW8" s="353">
        <v>0</v>
      </c>
      <c r="ACX8" s="353">
        <v>0</v>
      </c>
      <c r="ACY8" s="353">
        <v>0</v>
      </c>
      <c r="ACZ8" s="353">
        <v>0.70660409132159185</v>
      </c>
      <c r="ADA8" s="353">
        <v>0.2260470687509884</v>
      </c>
      <c r="ADB8" s="353">
        <v>0.99999997332340629</v>
      </c>
      <c r="ADC8" s="353">
        <v>0</v>
      </c>
      <c r="ADD8" s="353">
        <v>0</v>
      </c>
      <c r="ADE8" s="353">
        <v>0</v>
      </c>
      <c r="ADF8" s="353">
        <v>0</v>
      </c>
      <c r="ADG8" s="353">
        <v>0</v>
      </c>
      <c r="ADH8" s="353">
        <v>0</v>
      </c>
      <c r="ADI8" s="353">
        <v>0</v>
      </c>
      <c r="ADJ8" s="353">
        <v>0</v>
      </c>
      <c r="ADK8" s="353">
        <v>0</v>
      </c>
      <c r="ADL8" s="353">
        <v>0</v>
      </c>
      <c r="ADM8" s="353">
        <v>0</v>
      </c>
      <c r="ADN8" s="353">
        <v>0.68590288567471902</v>
      </c>
      <c r="ADO8" s="353">
        <v>0.99999997332340629</v>
      </c>
      <c r="ADP8" s="353">
        <v>0</v>
      </c>
      <c r="ADQ8" s="353">
        <v>0</v>
      </c>
      <c r="ADR8" s="353">
        <v>0</v>
      </c>
      <c r="ADS8" s="353">
        <v>0</v>
      </c>
      <c r="ADT8" s="353">
        <v>0</v>
      </c>
      <c r="ADU8" s="353">
        <v>0</v>
      </c>
      <c r="ADV8" s="353">
        <v>0</v>
      </c>
      <c r="ADW8" s="353">
        <v>0</v>
      </c>
      <c r="ADX8" s="353">
        <v>0</v>
      </c>
      <c r="ADY8" s="353">
        <v>0</v>
      </c>
      <c r="ADZ8" s="353">
        <v>0</v>
      </c>
      <c r="AEA8" s="353">
        <v>0</v>
      </c>
      <c r="AEB8" s="353">
        <v>0.29339588200181438</v>
      </c>
      <c r="AEC8" s="353">
        <v>0</v>
      </c>
      <c r="AED8" s="353">
        <v>0</v>
      </c>
      <c r="AEE8" s="353">
        <v>0</v>
      </c>
      <c r="AEF8" s="353">
        <v>0</v>
      </c>
      <c r="AEG8" s="353">
        <v>0</v>
      </c>
      <c r="AEH8" s="353">
        <v>0</v>
      </c>
      <c r="AEI8" s="353">
        <v>0</v>
      </c>
      <c r="AEJ8" s="353">
        <v>0.3628698860880995</v>
      </c>
      <c r="AEK8" s="353">
        <v>0</v>
      </c>
      <c r="AEL8" s="353">
        <v>0.86317715598629519</v>
      </c>
      <c r="AEM8" s="353">
        <v>0</v>
      </c>
      <c r="AEN8" s="353">
        <v>0</v>
      </c>
      <c r="AEO8" s="353">
        <v>0</v>
      </c>
      <c r="AEP8" s="353">
        <v>0</v>
      </c>
      <c r="AEQ8" s="353">
        <v>0</v>
      </c>
      <c r="AER8" s="353">
        <v>0</v>
      </c>
      <c r="AES8" s="353">
        <v>0</v>
      </c>
      <c r="AET8" s="353">
        <v>0</v>
      </c>
      <c r="AEU8" s="353">
        <v>0</v>
      </c>
      <c r="AEV8" s="353">
        <v>0</v>
      </c>
      <c r="AEW8" s="353">
        <v>0.99999997332340629</v>
      </c>
      <c r="AEX8" s="353">
        <v>0</v>
      </c>
      <c r="AEY8" s="353">
        <v>0</v>
      </c>
      <c r="AEZ8" s="353">
        <v>0</v>
      </c>
      <c r="AFA8" s="353">
        <v>0.52932982101001569</v>
      </c>
      <c r="AFB8" s="353">
        <v>0</v>
      </c>
      <c r="AFC8" s="353">
        <v>0</v>
      </c>
      <c r="AFD8" s="353">
        <v>0</v>
      </c>
      <c r="AFE8" s="353">
        <v>0</v>
      </c>
      <c r="AFF8" s="353">
        <v>0</v>
      </c>
      <c r="AFG8" s="353">
        <v>0.99999997332340629</v>
      </c>
      <c r="AFH8" s="353">
        <v>0</v>
      </c>
      <c r="AFI8" s="353">
        <v>0.99999997332340629</v>
      </c>
      <c r="AFJ8" s="353">
        <v>0.99999997332340629</v>
      </c>
      <c r="AFK8" s="353">
        <v>0</v>
      </c>
      <c r="AFL8" s="353">
        <v>0</v>
      </c>
      <c r="AFM8" s="353">
        <v>0</v>
      </c>
      <c r="AFN8" s="353">
        <v>0</v>
      </c>
      <c r="AFO8" s="353">
        <v>0</v>
      </c>
      <c r="AFP8" s="353">
        <v>0</v>
      </c>
      <c r="AFQ8" s="353">
        <v>0</v>
      </c>
      <c r="AFR8" s="353">
        <v>0</v>
      </c>
      <c r="AFS8" s="353">
        <v>0.1368228173371111</v>
      </c>
      <c r="AFT8" s="353">
        <v>0</v>
      </c>
      <c r="AFU8" s="353">
        <v>0.70660409132159185</v>
      </c>
      <c r="AFV8" s="353">
        <v>0.99999997332340629</v>
      </c>
      <c r="AFW8" s="353">
        <v>0</v>
      </c>
      <c r="AFX8" s="353">
        <v>0</v>
      </c>
      <c r="AFY8" s="353">
        <v>0</v>
      </c>
      <c r="AFZ8" s="353">
        <v>0.1368228173371111</v>
      </c>
      <c r="AGA8" s="353">
        <v>0</v>
      </c>
      <c r="AGB8" s="353">
        <v>0</v>
      </c>
      <c r="AGC8" s="353">
        <v>0</v>
      </c>
      <c r="AGD8" s="353">
        <v>0</v>
      </c>
      <c r="AGE8" s="353">
        <v>0.70660409132159185</v>
      </c>
      <c r="AGF8" s="353">
        <v>0.99999997332340629</v>
      </c>
      <c r="AGG8" s="353">
        <v>0.99999997332340629</v>
      </c>
      <c r="AGH8" s="353">
        <v>0</v>
      </c>
      <c r="AGI8" s="353">
        <v>0.99999997332340629</v>
      </c>
      <c r="AGJ8" s="353">
        <v>0.99999997332340629</v>
      </c>
      <c r="AGK8" s="353">
        <v>0</v>
      </c>
      <c r="AGL8" s="353">
        <v>0.52932982101001569</v>
      </c>
      <c r="AGM8" s="353">
        <v>0</v>
      </c>
      <c r="AGN8" s="353">
        <v>0</v>
      </c>
      <c r="AGO8" s="353">
        <v>0</v>
      </c>
      <c r="AGP8" s="353">
        <v>0</v>
      </c>
      <c r="AGQ8" s="353">
        <v>0</v>
      </c>
      <c r="AGR8" s="353">
        <v>0.3628698860880995</v>
      </c>
      <c r="AGS8" s="353">
        <v>0</v>
      </c>
      <c r="AGT8" s="353">
        <v>0.99999997332340629</v>
      </c>
      <c r="AGU8" s="353">
        <v>0.29339588200181438</v>
      </c>
      <c r="AGV8" s="353">
        <v>0</v>
      </c>
      <c r="AGW8" s="353">
        <v>0</v>
      </c>
      <c r="AGX8" s="353">
        <v>0</v>
      </c>
      <c r="AGY8" s="353">
        <v>0</v>
      </c>
      <c r="AGZ8" s="353">
        <v>0</v>
      </c>
      <c r="AHA8" s="353">
        <v>0</v>
      </c>
      <c r="AHB8" s="353">
        <v>0</v>
      </c>
      <c r="AHC8" s="353">
        <v>0</v>
      </c>
      <c r="AHD8" s="353">
        <v>0</v>
      </c>
      <c r="AHE8" s="353">
        <v>0.40332133906256462</v>
      </c>
      <c r="AHF8" s="353">
        <v>0</v>
      </c>
      <c r="AHG8" s="353">
        <v>0</v>
      </c>
      <c r="AHH8" s="353">
        <v>0</v>
      </c>
      <c r="AHI8" s="353">
        <v>0</v>
      </c>
      <c r="AHJ8" s="353">
        <v>0</v>
      </c>
      <c r="AHK8" s="353">
        <v>0</v>
      </c>
      <c r="AHL8" s="353">
        <v>0</v>
      </c>
      <c r="AHM8" s="353">
        <v>0</v>
      </c>
      <c r="AHN8" s="353">
        <v>0</v>
      </c>
      <c r="AHO8" s="353">
        <v>0</v>
      </c>
      <c r="AHP8" s="353">
        <v>0</v>
      </c>
      <c r="AHQ8" s="353">
        <v>0.2260470687509884</v>
      </c>
      <c r="AHR8" s="353">
        <v>0.69671722106437906</v>
      </c>
      <c r="AHS8" s="353">
        <v>0</v>
      </c>
      <c r="AHT8" s="353">
        <v>0</v>
      </c>
      <c r="AHU8" s="353">
        <v>0</v>
      </c>
      <c r="AHV8" s="353">
        <v>0</v>
      </c>
      <c r="AHW8" s="353">
        <v>0</v>
      </c>
      <c r="AHX8" s="353">
        <v>0</v>
      </c>
      <c r="AHY8" s="353">
        <v>0</v>
      </c>
      <c r="AHZ8" s="353">
        <v>0</v>
      </c>
      <c r="AIA8" s="353">
        <v>0</v>
      </c>
      <c r="AIB8" s="353">
        <v>0</v>
      </c>
      <c r="AIC8" s="353">
        <v>0</v>
      </c>
      <c r="AID8" s="353">
        <v>0.99999997332340629</v>
      </c>
      <c r="AIE8" s="353">
        <v>0</v>
      </c>
      <c r="AIF8" s="353">
        <v>0</v>
      </c>
      <c r="AIG8" s="353">
        <v>0</v>
      </c>
      <c r="AIH8" s="353">
        <v>0</v>
      </c>
      <c r="AII8" s="353">
        <v>0</v>
      </c>
      <c r="AIJ8" s="353">
        <v>0</v>
      </c>
      <c r="AIK8" s="353">
        <v>0</v>
      </c>
      <c r="AIL8" s="353">
        <v>0</v>
      </c>
      <c r="AIM8" s="353">
        <v>0.70660409132159185</v>
      </c>
      <c r="AIN8" s="353">
        <v>0.2260470687509884</v>
      </c>
      <c r="AIO8" s="353">
        <v>0.2260470687509884</v>
      </c>
      <c r="AIP8" s="353">
        <v>0.99999997332340629</v>
      </c>
      <c r="AIQ8" s="353">
        <v>0.99999997332340629</v>
      </c>
      <c r="AIR8" s="353">
        <v>0.99999997332340629</v>
      </c>
      <c r="AIS8" s="353">
        <v>0</v>
      </c>
      <c r="AIT8" s="353">
        <v>0</v>
      </c>
      <c r="AIU8" s="353">
        <v>0</v>
      </c>
      <c r="AIV8" s="353">
        <v>0</v>
      </c>
      <c r="AIW8" s="353">
        <v>0.1368228173371111</v>
      </c>
      <c r="AIX8" s="353">
        <v>0.48055702257060351</v>
      </c>
      <c r="AIY8" s="353">
        <v>0</v>
      </c>
      <c r="AIZ8" s="353">
        <v>0.99999997332340629</v>
      </c>
      <c r="AJA8" s="353">
        <v>0.99999997332340629</v>
      </c>
      <c r="AJB8" s="353">
        <v>0</v>
      </c>
      <c r="AJC8" s="353">
        <v>0.99999997332340629</v>
      </c>
      <c r="AJD8" s="353">
        <v>0</v>
      </c>
      <c r="AJE8" s="353">
        <v>0</v>
      </c>
      <c r="AJF8" s="353">
        <v>0</v>
      </c>
      <c r="AJG8" s="353">
        <v>0</v>
      </c>
      <c r="AJH8" s="353">
        <v>0</v>
      </c>
      <c r="AJI8" s="353">
        <v>0</v>
      </c>
      <c r="AJJ8" s="353">
        <v>0</v>
      </c>
      <c r="AJK8" s="353">
        <v>0</v>
      </c>
      <c r="AJL8" s="353">
        <v>0</v>
      </c>
      <c r="AJM8" s="353">
        <v>0.99999997332340629</v>
      </c>
      <c r="AJN8" s="353">
        <v>0</v>
      </c>
      <c r="AJO8" s="353">
        <v>0</v>
      </c>
      <c r="AJP8" s="353">
        <v>0</v>
      </c>
      <c r="AJQ8" s="353">
        <v>0</v>
      </c>
      <c r="AJR8" s="353">
        <v>0.70660409132159185</v>
      </c>
      <c r="AJS8" s="353">
        <v>0</v>
      </c>
      <c r="AJT8" s="353">
        <v>0</v>
      </c>
      <c r="AJU8" s="353">
        <v>0</v>
      </c>
      <c r="AJV8" s="353">
        <v>0</v>
      </c>
      <c r="AJW8" s="353">
        <v>0.2260470687509884</v>
      </c>
      <c r="AJX8" s="353">
        <v>0</v>
      </c>
      <c r="AJY8" s="353">
        <v>0.1368228173371111</v>
      </c>
      <c r="AJZ8" s="353">
        <v>0.99999997332340629</v>
      </c>
      <c r="AKA8" s="353">
        <v>0</v>
      </c>
      <c r="AKB8" s="353">
        <v>0</v>
      </c>
      <c r="AKC8" s="353">
        <v>0</v>
      </c>
      <c r="AKD8" s="353">
        <v>0</v>
      </c>
      <c r="AKE8" s="353">
        <v>0</v>
      </c>
      <c r="AKF8" s="353">
        <v>0</v>
      </c>
      <c r="AKG8" s="353">
        <v>0</v>
      </c>
      <c r="AKH8" s="353">
        <v>0</v>
      </c>
      <c r="AKI8" s="353">
        <v>0</v>
      </c>
      <c r="AKJ8" s="353">
        <v>0</v>
      </c>
      <c r="AKK8" s="353">
        <v>0.99999997332340629</v>
      </c>
      <c r="AKL8" s="353">
        <v>0.99999997332340629</v>
      </c>
      <c r="AKM8" s="353">
        <v>0.51944295075280278</v>
      </c>
      <c r="AKN8" s="353">
        <v>0</v>
      </c>
      <c r="AKO8" s="353">
        <v>0</v>
      </c>
      <c r="AKP8" s="353">
        <v>0</v>
      </c>
      <c r="AKQ8" s="353">
        <v>0</v>
      </c>
      <c r="AKR8" s="353">
        <v>0</v>
      </c>
      <c r="AKS8" s="353">
        <v>0</v>
      </c>
      <c r="AKT8" s="353">
        <v>0</v>
      </c>
      <c r="AKU8" s="353">
        <v>0</v>
      </c>
      <c r="AKV8" s="353">
        <v>0.3628698860880995</v>
      </c>
      <c r="AKW8" s="353">
        <v>0.99999997332340629</v>
      </c>
      <c r="AKX8" s="353">
        <v>0</v>
      </c>
      <c r="AKY8" s="353">
        <v>0.65626576808991388</v>
      </c>
      <c r="AKZ8" s="353">
        <v>0.29339588200181438</v>
      </c>
      <c r="ALA8" s="353">
        <v>0</v>
      </c>
      <c r="ALB8" s="353">
        <v>0</v>
      </c>
      <c r="ALC8" s="353">
        <v>0</v>
      </c>
      <c r="ALD8" s="353">
        <v>0</v>
      </c>
      <c r="ALE8" s="353">
        <v>0</v>
      </c>
      <c r="ALF8" s="353">
        <v>0</v>
      </c>
      <c r="ALG8" s="353">
        <v>0</v>
      </c>
      <c r="ALH8" s="353">
        <v>0</v>
      </c>
      <c r="ALI8" s="353">
        <v>0.99999997332340629</v>
      </c>
      <c r="ALJ8" s="353">
        <v>0.86317715598629519</v>
      </c>
      <c r="ALK8" s="353">
        <v>0</v>
      </c>
      <c r="ALL8" s="353">
        <v>0</v>
      </c>
      <c r="ALM8" s="353">
        <v>0</v>
      </c>
      <c r="ALN8" s="353">
        <v>0</v>
      </c>
      <c r="ALO8" s="353">
        <v>0</v>
      </c>
      <c r="ALP8" s="353">
        <v>0</v>
      </c>
      <c r="ALQ8" s="353">
        <v>0</v>
      </c>
      <c r="ALR8" s="353">
        <v>0</v>
      </c>
      <c r="ALS8" s="353">
        <v>0</v>
      </c>
      <c r="ALT8" s="353">
        <v>0</v>
      </c>
      <c r="ALU8" s="353">
        <v>0</v>
      </c>
      <c r="ALV8" s="353">
        <v>0.99999997332340629</v>
      </c>
      <c r="ALW8" s="353">
        <v>0</v>
      </c>
      <c r="ALX8" s="353">
        <v>0</v>
      </c>
      <c r="ALY8" s="353">
        <v>0</v>
      </c>
      <c r="ALZ8" s="353">
        <v>0.1368228173371111</v>
      </c>
      <c r="AMA8" s="353">
        <v>0.1368228173371111</v>
      </c>
      <c r="AMB8" s="353">
        <v>0</v>
      </c>
      <c r="AMC8" s="353">
        <v>0</v>
      </c>
      <c r="AMD8" s="353">
        <v>0</v>
      </c>
      <c r="AME8" s="353">
        <v>0</v>
      </c>
      <c r="AMF8" s="353">
        <v>0</v>
      </c>
      <c r="AMG8" s="353">
        <v>0.70660409132159185</v>
      </c>
      <c r="AMH8" s="353">
        <v>0.69671722106437906</v>
      </c>
      <c r="AMI8" s="353">
        <v>0</v>
      </c>
      <c r="AMJ8" s="353">
        <v>0.65626576808991388</v>
      </c>
      <c r="AMK8" s="353">
        <v>0</v>
      </c>
      <c r="AML8" s="353">
        <v>0</v>
      </c>
      <c r="AMM8" s="353">
        <v>0</v>
      </c>
      <c r="AMN8" s="353">
        <v>0</v>
      </c>
      <c r="AMO8" s="353">
        <v>0</v>
      </c>
      <c r="AMP8" s="353">
        <v>0</v>
      </c>
      <c r="AMQ8" s="353">
        <v>0</v>
      </c>
      <c r="AMR8" s="353">
        <v>0.2260470687509884</v>
      </c>
      <c r="AMS8" s="353">
        <v>0.82272570301183012</v>
      </c>
      <c r="AMT8" s="353">
        <v>0.99999997332340629</v>
      </c>
    </row>
    <row r="11" spans="2:1034" ht="18" x14ac:dyDescent="0.35">
      <c r="B11" s="352" t="s">
        <v>386</v>
      </c>
    </row>
    <row r="12" spans="2:1034" x14ac:dyDescent="0.3">
      <c r="B12" s="347" t="s">
        <v>376</v>
      </c>
      <c r="C12" s="351">
        <v>42005</v>
      </c>
      <c r="D12" s="351">
        <v>42036</v>
      </c>
      <c r="E12" s="351">
        <v>42064</v>
      </c>
      <c r="F12" s="351">
        <v>42095</v>
      </c>
      <c r="G12" s="351">
        <v>42125</v>
      </c>
      <c r="H12" s="351">
        <v>42156</v>
      </c>
      <c r="I12" s="351">
        <v>42186</v>
      </c>
      <c r="J12" s="351">
        <v>42217</v>
      </c>
      <c r="K12" s="351">
        <v>42248</v>
      </c>
      <c r="L12" s="351">
        <v>42278</v>
      </c>
      <c r="M12" s="351">
        <v>42309</v>
      </c>
      <c r="N12" s="351">
        <v>42339</v>
      </c>
      <c r="O12" s="351">
        <v>42370</v>
      </c>
      <c r="P12" s="351">
        <v>42401</v>
      </c>
      <c r="Q12" s="351">
        <v>42430</v>
      </c>
      <c r="R12" s="351">
        <v>42461</v>
      </c>
      <c r="S12" s="351">
        <v>42491</v>
      </c>
      <c r="T12" s="351">
        <v>42522</v>
      </c>
      <c r="U12" s="351">
        <v>42552</v>
      </c>
      <c r="V12" s="351">
        <v>42583</v>
      </c>
      <c r="W12" s="351">
        <v>42614</v>
      </c>
      <c r="X12" s="351">
        <v>42644</v>
      </c>
      <c r="Y12" s="351">
        <v>42675</v>
      </c>
      <c r="Z12" s="351">
        <v>42705</v>
      </c>
      <c r="AA12" s="351">
        <v>42736</v>
      </c>
      <c r="AB12" s="351">
        <v>42767</v>
      </c>
      <c r="AC12" s="351">
        <v>42795</v>
      </c>
      <c r="AD12" s="351">
        <v>42826</v>
      </c>
      <c r="AE12" s="351">
        <v>42856</v>
      </c>
      <c r="AF12" s="351">
        <v>42887</v>
      </c>
      <c r="AG12" s="351">
        <v>42917</v>
      </c>
      <c r="AH12" s="351">
        <v>42948</v>
      </c>
      <c r="AI12" s="351">
        <v>42979</v>
      </c>
      <c r="AJ12" s="351">
        <v>43009</v>
      </c>
      <c r="AK12" s="351">
        <v>43040</v>
      </c>
      <c r="AL12" s="351">
        <v>43070</v>
      </c>
      <c r="AM12" s="351">
        <v>43101</v>
      </c>
      <c r="AN12" s="351">
        <v>43132</v>
      </c>
      <c r="AO12" s="351">
        <v>43160</v>
      </c>
      <c r="AP12" s="351">
        <v>43191</v>
      </c>
      <c r="AQ12" s="351">
        <v>43221</v>
      </c>
      <c r="AR12" s="351">
        <v>43252</v>
      </c>
      <c r="AS12" s="351">
        <v>43282</v>
      </c>
      <c r="AT12" s="351">
        <v>43313</v>
      </c>
      <c r="AU12" s="351">
        <v>43344</v>
      </c>
      <c r="AV12" s="351">
        <v>43374</v>
      </c>
      <c r="AW12" s="351">
        <v>43405</v>
      </c>
      <c r="AX12" s="351">
        <v>43435</v>
      </c>
      <c r="AY12" s="351">
        <v>43466</v>
      </c>
      <c r="AZ12" s="351">
        <v>43497</v>
      </c>
      <c r="BA12" s="351">
        <v>43525</v>
      </c>
      <c r="BB12" s="351">
        <v>43556</v>
      </c>
      <c r="BC12" s="351">
        <v>43586</v>
      </c>
      <c r="BD12" s="351">
        <v>43617</v>
      </c>
      <c r="BE12" s="351">
        <v>43647</v>
      </c>
      <c r="BF12" s="351">
        <v>43678</v>
      </c>
      <c r="BG12" s="351">
        <v>43709</v>
      </c>
      <c r="BH12" s="351">
        <v>43739</v>
      </c>
      <c r="BI12" s="351">
        <v>43770</v>
      </c>
      <c r="BJ12" s="351">
        <v>43800</v>
      </c>
      <c r="BK12" s="351">
        <v>43831</v>
      </c>
      <c r="BL12" s="351">
        <v>43862</v>
      </c>
      <c r="BM12" s="351">
        <v>43891</v>
      </c>
      <c r="BN12" s="351">
        <v>43922</v>
      </c>
      <c r="BO12" s="351">
        <v>43952</v>
      </c>
      <c r="BP12" s="351">
        <v>43983</v>
      </c>
      <c r="BQ12" s="351">
        <v>44013</v>
      </c>
      <c r="BR12" s="351">
        <v>44044</v>
      </c>
      <c r="BS12" s="351">
        <v>44075</v>
      </c>
      <c r="BT12" s="351">
        <v>44105</v>
      </c>
      <c r="BU12" s="351">
        <v>44136</v>
      </c>
      <c r="BV12" s="351">
        <v>44166</v>
      </c>
      <c r="BW12" s="351">
        <v>44197</v>
      </c>
      <c r="BX12" s="351">
        <v>44228</v>
      </c>
      <c r="BY12" s="351">
        <v>44256</v>
      </c>
      <c r="BZ12" s="351">
        <v>44287</v>
      </c>
      <c r="CA12" s="351">
        <v>44317</v>
      </c>
      <c r="CB12" s="351">
        <v>44348</v>
      </c>
      <c r="CC12" s="351">
        <v>44378</v>
      </c>
      <c r="CD12" s="351">
        <v>44409</v>
      </c>
      <c r="CE12" s="351">
        <v>44440</v>
      </c>
      <c r="CF12" s="351">
        <v>44470</v>
      </c>
      <c r="CG12" s="351">
        <v>44501</v>
      </c>
      <c r="CH12" s="351">
        <v>44531</v>
      </c>
      <c r="CI12" s="351">
        <v>44562</v>
      </c>
      <c r="CJ12" s="351">
        <v>44593</v>
      </c>
      <c r="CK12" s="351">
        <v>44621</v>
      </c>
      <c r="CL12" s="351">
        <v>44652</v>
      </c>
      <c r="CM12" s="351">
        <v>44682</v>
      </c>
      <c r="CN12" s="351">
        <v>44713</v>
      </c>
      <c r="CO12" s="351">
        <v>44743</v>
      </c>
      <c r="CP12" s="351">
        <v>44774</v>
      </c>
      <c r="CQ12" s="351">
        <v>44805</v>
      </c>
      <c r="CR12" s="351">
        <v>44835</v>
      </c>
      <c r="CS12" s="351">
        <v>44866</v>
      </c>
      <c r="CT12" s="351">
        <v>44896</v>
      </c>
      <c r="CU12" s="351">
        <v>44927</v>
      </c>
      <c r="CV12" s="351">
        <v>44958</v>
      </c>
      <c r="CW12" s="351">
        <v>44986</v>
      </c>
      <c r="CX12" s="351">
        <v>45017</v>
      </c>
      <c r="CY12" s="351">
        <v>45047</v>
      </c>
      <c r="CZ12" s="351">
        <v>45078</v>
      </c>
      <c r="DA12" s="351">
        <v>45108</v>
      </c>
      <c r="DB12" s="351">
        <v>45139</v>
      </c>
      <c r="DC12" s="351">
        <v>45170</v>
      </c>
      <c r="DD12" s="351">
        <v>45200</v>
      </c>
      <c r="DE12" s="351">
        <v>45231</v>
      </c>
      <c r="DF12" s="351">
        <v>45261</v>
      </c>
      <c r="DG12" s="351">
        <v>45292</v>
      </c>
      <c r="DH12" s="351">
        <v>45323</v>
      </c>
      <c r="DI12" s="351">
        <v>45352</v>
      </c>
      <c r="DJ12" s="351">
        <v>45383</v>
      </c>
      <c r="DK12" s="351">
        <v>45413</v>
      </c>
      <c r="DL12" s="351">
        <v>45444</v>
      </c>
      <c r="DM12" s="351">
        <v>45474</v>
      </c>
      <c r="DN12" s="351">
        <v>45505</v>
      </c>
      <c r="DO12" s="351">
        <v>45536</v>
      </c>
      <c r="DP12" s="351">
        <v>45566</v>
      </c>
      <c r="DQ12" s="351">
        <v>45597</v>
      </c>
      <c r="DR12" s="351">
        <v>45627</v>
      </c>
      <c r="DS12" s="351">
        <v>45658</v>
      </c>
      <c r="DT12" s="351">
        <v>45689</v>
      </c>
      <c r="DU12" s="351">
        <v>45717</v>
      </c>
      <c r="DV12" s="351">
        <v>45748</v>
      </c>
      <c r="DW12" s="351">
        <v>45778</v>
      </c>
      <c r="DX12" s="351">
        <v>45809</v>
      </c>
      <c r="DY12" s="351">
        <v>45839</v>
      </c>
      <c r="DZ12" s="351">
        <v>45870</v>
      </c>
      <c r="EA12" s="351">
        <v>45901</v>
      </c>
      <c r="EB12" s="351">
        <v>45931</v>
      </c>
      <c r="EC12" s="351">
        <v>45962</v>
      </c>
      <c r="ED12" s="351">
        <v>45992</v>
      </c>
      <c r="EE12" s="351">
        <v>46023</v>
      </c>
      <c r="EF12" s="351">
        <v>46054</v>
      </c>
      <c r="EG12" s="351">
        <v>46082</v>
      </c>
      <c r="EH12" s="351">
        <v>46113</v>
      </c>
      <c r="EI12" s="351">
        <v>46143</v>
      </c>
      <c r="EJ12" s="351">
        <v>46174</v>
      </c>
      <c r="EK12" s="351">
        <v>46204</v>
      </c>
      <c r="EL12" s="351">
        <v>46235</v>
      </c>
      <c r="EM12" s="351">
        <v>46266</v>
      </c>
      <c r="EN12" s="351">
        <v>46296</v>
      </c>
      <c r="EO12" s="351">
        <v>46327</v>
      </c>
      <c r="EP12" s="351">
        <v>46357</v>
      </c>
      <c r="EQ12" s="351">
        <v>46388</v>
      </c>
      <c r="ER12" s="351">
        <v>46419</v>
      </c>
      <c r="ES12" s="351">
        <v>46447</v>
      </c>
      <c r="ET12" s="351">
        <v>46478</v>
      </c>
      <c r="EU12" s="351">
        <v>46508</v>
      </c>
      <c r="EV12" s="351">
        <v>46539</v>
      </c>
      <c r="EW12" s="351">
        <v>46569</v>
      </c>
      <c r="EX12" s="351">
        <v>46600</v>
      </c>
      <c r="EY12" s="351">
        <v>46631</v>
      </c>
      <c r="EZ12" s="351">
        <v>46661</v>
      </c>
      <c r="FA12" s="351">
        <v>46692</v>
      </c>
      <c r="FB12" s="351">
        <v>46722</v>
      </c>
      <c r="FC12" s="351">
        <v>46753</v>
      </c>
      <c r="FD12" s="351">
        <v>46784</v>
      </c>
      <c r="FE12" s="351">
        <v>46813</v>
      </c>
      <c r="FF12" s="351">
        <v>46844</v>
      </c>
      <c r="FG12" s="351">
        <v>46874</v>
      </c>
      <c r="FH12" s="351">
        <v>46905</v>
      </c>
      <c r="FI12" s="351">
        <v>46935</v>
      </c>
      <c r="FJ12" s="351">
        <v>46966</v>
      </c>
      <c r="FK12" s="351">
        <v>46997</v>
      </c>
      <c r="FL12" s="351">
        <v>47027</v>
      </c>
      <c r="FM12" s="351">
        <v>47058</v>
      </c>
      <c r="FN12" s="351">
        <v>47088</v>
      </c>
      <c r="FO12" s="351">
        <v>47119</v>
      </c>
      <c r="FP12" s="351">
        <v>47150</v>
      </c>
      <c r="FQ12" s="351">
        <v>47178</v>
      </c>
      <c r="FR12" s="351">
        <v>47209</v>
      </c>
      <c r="FS12" s="351">
        <v>47239</v>
      </c>
      <c r="FT12" s="351">
        <v>47270</v>
      </c>
      <c r="FU12" s="351">
        <v>47300</v>
      </c>
      <c r="FV12" s="351">
        <v>47331</v>
      </c>
      <c r="FW12" s="351">
        <v>47362</v>
      </c>
      <c r="FX12" s="351">
        <v>47392</v>
      </c>
      <c r="FY12" s="351">
        <v>47423</v>
      </c>
      <c r="FZ12" s="351">
        <v>47453</v>
      </c>
      <c r="GA12" s="351">
        <v>47484</v>
      </c>
      <c r="GB12" s="351">
        <v>47515</v>
      </c>
      <c r="GC12" s="351">
        <v>47543</v>
      </c>
      <c r="GD12" s="351">
        <v>47574</v>
      </c>
      <c r="GE12" s="351">
        <v>47604</v>
      </c>
      <c r="GF12" s="351">
        <v>47635</v>
      </c>
      <c r="GG12" s="351">
        <v>47665</v>
      </c>
      <c r="GH12" s="351">
        <v>47696</v>
      </c>
      <c r="GI12" s="351">
        <v>47727</v>
      </c>
      <c r="GJ12" s="351">
        <v>47757</v>
      </c>
      <c r="GK12" s="351">
        <v>47788</v>
      </c>
      <c r="GL12" s="351">
        <v>47818</v>
      </c>
      <c r="GM12" s="351">
        <v>47849</v>
      </c>
      <c r="GN12" s="351">
        <v>47880</v>
      </c>
      <c r="GO12" s="351">
        <v>47908</v>
      </c>
      <c r="GP12" s="351">
        <v>47939</v>
      </c>
      <c r="GQ12" s="351">
        <v>47969</v>
      </c>
      <c r="GR12" s="351">
        <v>48000</v>
      </c>
      <c r="GS12" s="351">
        <v>48030</v>
      </c>
      <c r="GT12" s="351">
        <v>48061</v>
      </c>
      <c r="GU12" s="351">
        <v>48092</v>
      </c>
      <c r="GV12" s="351">
        <v>48122</v>
      </c>
      <c r="GW12" s="351">
        <v>48153</v>
      </c>
      <c r="GX12" s="351">
        <v>48183</v>
      </c>
      <c r="GY12" s="351">
        <v>48214</v>
      </c>
      <c r="GZ12" s="351">
        <v>48245</v>
      </c>
      <c r="HA12" s="351">
        <v>48274</v>
      </c>
      <c r="HB12" s="351">
        <v>48305</v>
      </c>
      <c r="HC12" s="351">
        <v>48335</v>
      </c>
      <c r="HD12" s="351">
        <v>48366</v>
      </c>
      <c r="HE12" s="351">
        <v>48396</v>
      </c>
      <c r="HF12" s="351">
        <v>48427</v>
      </c>
      <c r="HG12" s="351">
        <v>48458</v>
      </c>
      <c r="HH12" s="351">
        <v>48488</v>
      </c>
      <c r="HI12" s="351">
        <v>48519</v>
      </c>
      <c r="HJ12" s="351">
        <v>48549</v>
      </c>
      <c r="HK12" s="351">
        <v>48580</v>
      </c>
      <c r="HL12" s="351">
        <v>48611</v>
      </c>
      <c r="HM12" s="351">
        <v>48639</v>
      </c>
      <c r="HN12" s="351">
        <v>48670</v>
      </c>
      <c r="HO12" s="351">
        <v>48700</v>
      </c>
      <c r="HP12" s="351">
        <v>48731</v>
      </c>
      <c r="HQ12" s="351">
        <v>48761</v>
      </c>
      <c r="HR12" s="351">
        <v>48792</v>
      </c>
      <c r="HS12" s="351">
        <v>48823</v>
      </c>
      <c r="HT12" s="351">
        <v>48853</v>
      </c>
      <c r="HU12" s="351">
        <v>48884</v>
      </c>
      <c r="HV12" s="351">
        <v>48914</v>
      </c>
      <c r="HW12" s="351">
        <v>48945</v>
      </c>
      <c r="HX12" s="351">
        <v>48976</v>
      </c>
      <c r="HY12" s="351">
        <v>49004</v>
      </c>
      <c r="HZ12" s="351">
        <v>49035</v>
      </c>
      <c r="IA12" s="351">
        <v>49065</v>
      </c>
      <c r="IB12" s="351">
        <v>49096</v>
      </c>
      <c r="IC12" s="351">
        <v>49126</v>
      </c>
      <c r="ID12" s="351">
        <v>49157</v>
      </c>
      <c r="IE12" s="351">
        <v>49188</v>
      </c>
      <c r="IF12" s="351">
        <v>49218</v>
      </c>
      <c r="IG12" s="351">
        <v>49249</v>
      </c>
      <c r="IH12" s="351">
        <v>49279</v>
      </c>
      <c r="II12" s="351">
        <v>49310</v>
      </c>
      <c r="IJ12" s="351">
        <v>49341</v>
      </c>
      <c r="IK12" s="351">
        <v>49369</v>
      </c>
      <c r="IL12" s="351">
        <v>49400</v>
      </c>
      <c r="IM12" s="351">
        <v>49430</v>
      </c>
      <c r="IN12" s="351">
        <v>49461</v>
      </c>
      <c r="IO12" s="351">
        <v>49491</v>
      </c>
      <c r="IP12" s="351">
        <v>49522</v>
      </c>
      <c r="IQ12" s="351">
        <v>49553</v>
      </c>
      <c r="IR12" s="351">
        <v>49583</v>
      </c>
      <c r="IS12" s="351">
        <v>49614</v>
      </c>
      <c r="IT12" s="351">
        <v>49644</v>
      </c>
      <c r="IU12" s="351">
        <v>49675</v>
      </c>
      <c r="IV12" s="351">
        <v>49706</v>
      </c>
      <c r="IW12" s="351">
        <v>49735</v>
      </c>
      <c r="IX12" s="351">
        <v>49766</v>
      </c>
      <c r="IY12" s="351">
        <v>49796</v>
      </c>
      <c r="IZ12" s="351">
        <v>49827</v>
      </c>
      <c r="JA12" s="351">
        <v>49857</v>
      </c>
      <c r="JB12" s="351">
        <v>49888</v>
      </c>
      <c r="JC12" s="351">
        <v>49919</v>
      </c>
      <c r="JD12" s="351">
        <v>49949</v>
      </c>
      <c r="JE12" s="351">
        <v>49980</v>
      </c>
      <c r="JF12" s="351">
        <v>50010</v>
      </c>
      <c r="JG12" s="351">
        <v>50041</v>
      </c>
      <c r="JH12" s="351">
        <v>50072</v>
      </c>
      <c r="JI12" s="351">
        <v>50100</v>
      </c>
      <c r="JJ12" s="351">
        <v>50131</v>
      </c>
      <c r="JK12" s="351">
        <v>50161</v>
      </c>
      <c r="JL12" s="351">
        <v>50192</v>
      </c>
      <c r="JM12" s="351">
        <v>50222</v>
      </c>
      <c r="JN12" s="351">
        <v>50253</v>
      </c>
      <c r="JO12" s="351">
        <v>50284</v>
      </c>
      <c r="JP12" s="351">
        <v>50314</v>
      </c>
      <c r="JQ12" s="351">
        <v>50345</v>
      </c>
      <c r="JR12" s="351">
        <v>50375</v>
      </c>
      <c r="JS12" s="351">
        <v>50406</v>
      </c>
      <c r="JT12" s="351">
        <v>50437</v>
      </c>
      <c r="JU12" s="351">
        <v>50465</v>
      </c>
      <c r="JV12" s="351">
        <v>50496</v>
      </c>
      <c r="JW12" s="351">
        <v>50526</v>
      </c>
      <c r="JX12" s="351">
        <v>50557</v>
      </c>
      <c r="JY12" s="351">
        <v>50587</v>
      </c>
      <c r="JZ12" s="351">
        <v>50618</v>
      </c>
      <c r="KA12" s="351">
        <v>50649</v>
      </c>
      <c r="KB12" s="351">
        <v>50679</v>
      </c>
      <c r="KC12" s="351">
        <v>50710</v>
      </c>
      <c r="KD12" s="351">
        <v>50740</v>
      </c>
      <c r="KE12" s="351">
        <v>50771</v>
      </c>
      <c r="KF12" s="351">
        <v>50802</v>
      </c>
      <c r="KG12" s="351">
        <v>50830</v>
      </c>
      <c r="KH12" s="351">
        <v>50861</v>
      </c>
      <c r="KI12" s="351">
        <v>50891</v>
      </c>
      <c r="KJ12" s="351">
        <v>50922</v>
      </c>
      <c r="KK12" s="351">
        <v>50952</v>
      </c>
      <c r="KL12" s="351">
        <v>50983</v>
      </c>
      <c r="KM12" s="351">
        <v>51014</v>
      </c>
      <c r="KN12" s="351">
        <v>51044</v>
      </c>
      <c r="KO12" s="351">
        <v>51075</v>
      </c>
      <c r="KP12" s="351">
        <v>51105</v>
      </c>
      <c r="KQ12" s="351">
        <v>51136</v>
      </c>
      <c r="KR12" s="351">
        <v>51167</v>
      </c>
      <c r="KS12" s="351">
        <v>51196</v>
      </c>
      <c r="KT12" s="351">
        <v>51227</v>
      </c>
      <c r="KU12" s="351">
        <v>51257</v>
      </c>
      <c r="KV12" s="351">
        <v>51288</v>
      </c>
      <c r="KW12" s="351">
        <v>51318</v>
      </c>
      <c r="KX12" s="351">
        <v>51349</v>
      </c>
      <c r="KY12" s="351">
        <v>51380</v>
      </c>
      <c r="KZ12" s="351">
        <v>51410</v>
      </c>
      <c r="LA12" s="351">
        <v>51441</v>
      </c>
      <c r="LB12" s="351">
        <v>51471</v>
      </c>
      <c r="LC12" s="351">
        <v>51502</v>
      </c>
      <c r="LD12" s="351">
        <v>51533</v>
      </c>
      <c r="LE12" s="351">
        <v>51561</v>
      </c>
      <c r="LF12" s="351">
        <v>51592</v>
      </c>
      <c r="LG12" s="351">
        <v>51622</v>
      </c>
      <c r="LH12" s="351">
        <v>51653</v>
      </c>
      <c r="LI12" s="351">
        <v>51683</v>
      </c>
      <c r="LJ12" s="351">
        <v>51714</v>
      </c>
      <c r="LK12" s="351">
        <v>51745</v>
      </c>
      <c r="LL12" s="351">
        <v>51775</v>
      </c>
      <c r="LM12" s="351">
        <v>51806</v>
      </c>
      <c r="LN12" s="351">
        <v>51836</v>
      </c>
      <c r="LO12" s="351">
        <v>51867</v>
      </c>
      <c r="LP12" s="351">
        <v>51898</v>
      </c>
      <c r="LQ12" s="351">
        <v>51926</v>
      </c>
      <c r="LR12" s="351">
        <v>51957</v>
      </c>
      <c r="LS12" s="351">
        <v>51987</v>
      </c>
      <c r="LT12" s="351">
        <v>52018</v>
      </c>
      <c r="LU12" s="351">
        <v>52048</v>
      </c>
      <c r="LV12" s="351">
        <v>52079</v>
      </c>
      <c r="LW12" s="351">
        <v>52110</v>
      </c>
      <c r="LX12" s="351">
        <v>52140</v>
      </c>
      <c r="LY12" s="351">
        <v>52171</v>
      </c>
      <c r="LZ12" s="351">
        <v>52201</v>
      </c>
      <c r="MA12" s="351">
        <v>52232</v>
      </c>
      <c r="MB12" s="351">
        <v>52263</v>
      </c>
      <c r="MC12" s="351">
        <v>52291</v>
      </c>
      <c r="MD12" s="351">
        <v>52322</v>
      </c>
      <c r="ME12" s="351">
        <v>52352</v>
      </c>
      <c r="MF12" s="351">
        <v>52383</v>
      </c>
      <c r="MG12" s="351">
        <v>52413</v>
      </c>
      <c r="MH12" s="351">
        <v>52444</v>
      </c>
      <c r="MI12" s="351">
        <v>52475</v>
      </c>
      <c r="MJ12" s="351">
        <v>52505</v>
      </c>
      <c r="MK12" s="351">
        <v>52536</v>
      </c>
      <c r="ML12" s="351">
        <v>52566</v>
      </c>
      <c r="MM12" s="351">
        <v>52597</v>
      </c>
      <c r="MN12" s="351">
        <v>52628</v>
      </c>
      <c r="MO12" s="351">
        <v>52657</v>
      </c>
      <c r="MP12" s="351">
        <v>52688</v>
      </c>
      <c r="MQ12" s="351">
        <v>52718</v>
      </c>
      <c r="MR12" s="351">
        <v>52749</v>
      </c>
      <c r="MS12" s="351">
        <v>52779</v>
      </c>
      <c r="MT12" s="351">
        <v>52810</v>
      </c>
      <c r="MU12" s="351">
        <v>52841</v>
      </c>
      <c r="MV12" s="351">
        <v>52871</v>
      </c>
      <c r="MW12" s="351">
        <v>52902</v>
      </c>
      <c r="MX12" s="351">
        <v>52932</v>
      </c>
      <c r="MY12" s="351">
        <v>52963</v>
      </c>
      <c r="MZ12" s="351">
        <v>52994</v>
      </c>
      <c r="NA12" s="351">
        <v>53022</v>
      </c>
      <c r="NB12" s="351">
        <v>53053</v>
      </c>
      <c r="NC12" s="351">
        <v>53083</v>
      </c>
      <c r="ND12" s="351">
        <v>53114</v>
      </c>
      <c r="NE12" s="351">
        <v>53144</v>
      </c>
      <c r="NF12" s="351">
        <v>53175</v>
      </c>
      <c r="NG12" s="351">
        <v>53206</v>
      </c>
      <c r="NH12" s="351">
        <v>53236</v>
      </c>
      <c r="NI12" s="351">
        <v>53267</v>
      </c>
      <c r="NJ12" s="351">
        <v>53297</v>
      </c>
      <c r="NK12" s="351">
        <v>53328</v>
      </c>
      <c r="NL12" s="351">
        <v>53359</v>
      </c>
      <c r="NM12" s="351">
        <v>53387</v>
      </c>
      <c r="NN12" s="351">
        <v>53418</v>
      </c>
      <c r="NO12" s="351">
        <v>53448</v>
      </c>
      <c r="NP12" s="351">
        <v>53479</v>
      </c>
      <c r="NQ12" s="351">
        <v>53509</v>
      </c>
      <c r="NR12" s="351">
        <v>53540</v>
      </c>
      <c r="NS12" s="351">
        <v>53571</v>
      </c>
      <c r="NT12" s="351">
        <v>53601</v>
      </c>
      <c r="NU12" s="351">
        <v>53632</v>
      </c>
      <c r="NV12" s="351">
        <v>53662</v>
      </c>
      <c r="NW12" s="351">
        <v>53693</v>
      </c>
      <c r="NX12" s="351">
        <v>53724</v>
      </c>
      <c r="NY12" s="351">
        <v>53752</v>
      </c>
      <c r="NZ12" s="351">
        <v>53783</v>
      </c>
      <c r="OA12" s="351">
        <v>53813</v>
      </c>
      <c r="OB12" s="351">
        <v>53844</v>
      </c>
      <c r="OC12" s="351">
        <v>53874</v>
      </c>
      <c r="OD12" s="351">
        <v>53905</v>
      </c>
      <c r="OE12" s="351">
        <v>53936</v>
      </c>
      <c r="OF12" s="351">
        <v>53966</v>
      </c>
      <c r="OG12" s="351">
        <v>53997</v>
      </c>
      <c r="OH12" s="351">
        <v>54027</v>
      </c>
      <c r="OI12" s="351">
        <v>54058</v>
      </c>
      <c r="OJ12" s="351">
        <v>54089</v>
      </c>
      <c r="OK12" s="351">
        <v>54118</v>
      </c>
      <c r="OL12" s="351">
        <v>54149</v>
      </c>
      <c r="OM12" s="351">
        <v>54179</v>
      </c>
      <c r="ON12" s="351">
        <v>54210</v>
      </c>
      <c r="OO12" s="351">
        <v>54240</v>
      </c>
      <c r="OP12" s="351">
        <v>54271</v>
      </c>
      <c r="OQ12" s="351">
        <v>54302</v>
      </c>
      <c r="OR12" s="351">
        <v>54332</v>
      </c>
      <c r="OS12" s="351">
        <v>54363</v>
      </c>
      <c r="OT12" s="351">
        <v>54393</v>
      </c>
      <c r="OU12" s="351">
        <v>54424</v>
      </c>
      <c r="OV12" s="351">
        <v>54455</v>
      </c>
      <c r="OW12" s="351">
        <v>54483</v>
      </c>
      <c r="OX12" s="351">
        <v>54514</v>
      </c>
      <c r="OY12" s="351">
        <v>54544</v>
      </c>
      <c r="OZ12" s="351">
        <v>54575</v>
      </c>
      <c r="PA12" s="351">
        <v>54605</v>
      </c>
      <c r="PB12" s="351">
        <v>54636</v>
      </c>
      <c r="PC12" s="351">
        <v>54667</v>
      </c>
      <c r="PD12" s="351">
        <v>54697</v>
      </c>
      <c r="PE12" s="351">
        <v>54728</v>
      </c>
      <c r="PF12" s="351">
        <v>54758</v>
      </c>
      <c r="PG12" s="351">
        <v>54789</v>
      </c>
      <c r="PH12" s="351">
        <v>54820</v>
      </c>
      <c r="PI12" s="351">
        <v>54848</v>
      </c>
      <c r="PJ12" s="351">
        <v>54879</v>
      </c>
      <c r="PK12" s="351">
        <v>54909</v>
      </c>
      <c r="PL12" s="351">
        <v>54940</v>
      </c>
      <c r="PM12" s="351">
        <v>54970</v>
      </c>
      <c r="PN12" s="351">
        <v>55001</v>
      </c>
      <c r="PO12" s="351">
        <v>55032</v>
      </c>
      <c r="PP12" s="351">
        <v>55062</v>
      </c>
      <c r="PQ12" s="351">
        <v>55093</v>
      </c>
      <c r="PR12" s="351">
        <v>55123</v>
      </c>
    </row>
    <row r="13" spans="2:1034" s="353" customFormat="1" x14ac:dyDescent="0.3">
      <c r="B13" s="349" t="s">
        <v>377</v>
      </c>
      <c r="C13" s="353">
        <v>0</v>
      </c>
      <c r="D13" s="353">
        <v>0.99999997332340629</v>
      </c>
      <c r="E13" s="353">
        <v>0</v>
      </c>
      <c r="F13" s="353">
        <v>0</v>
      </c>
      <c r="G13" s="353">
        <v>0</v>
      </c>
      <c r="H13" s="353">
        <v>0</v>
      </c>
      <c r="I13" s="353">
        <v>0</v>
      </c>
      <c r="J13" s="353">
        <v>0.2260470687509884</v>
      </c>
      <c r="K13" s="353">
        <v>0.39250700367290448</v>
      </c>
      <c r="L13" s="353">
        <v>0.70660409132159185</v>
      </c>
      <c r="M13" s="353">
        <v>0</v>
      </c>
      <c r="N13" s="353">
        <v>0</v>
      </c>
      <c r="O13" s="353">
        <v>0.51944295075280278</v>
      </c>
      <c r="P13" s="353">
        <v>0.51944295075280278</v>
      </c>
      <c r="Q13" s="353">
        <v>0</v>
      </c>
      <c r="R13" s="353">
        <v>0</v>
      </c>
      <c r="S13" s="353">
        <v>0</v>
      </c>
      <c r="T13" s="353">
        <v>0</v>
      </c>
      <c r="U13" s="353">
        <v>0</v>
      </c>
      <c r="V13" s="353">
        <v>0</v>
      </c>
      <c r="W13" s="353">
        <v>0</v>
      </c>
      <c r="X13" s="353">
        <v>0</v>
      </c>
      <c r="Y13" s="353">
        <v>0</v>
      </c>
      <c r="Z13" s="353">
        <v>0</v>
      </c>
      <c r="AA13" s="353">
        <v>0</v>
      </c>
      <c r="AB13" s="353">
        <v>0</v>
      </c>
      <c r="AC13" s="353">
        <v>0</v>
      </c>
      <c r="AD13" s="353">
        <v>0</v>
      </c>
      <c r="AE13" s="353">
        <v>0</v>
      </c>
      <c r="AF13" s="353">
        <v>0</v>
      </c>
      <c r="AG13" s="353">
        <v>0</v>
      </c>
      <c r="AH13" s="353">
        <v>0</v>
      </c>
      <c r="AI13" s="353">
        <v>0</v>
      </c>
      <c r="AJ13" s="353">
        <v>0</v>
      </c>
      <c r="AK13" s="353">
        <v>0</v>
      </c>
      <c r="AL13" s="353">
        <v>0.86317715598629519</v>
      </c>
      <c r="AM13" s="353">
        <v>0</v>
      </c>
      <c r="AN13" s="353">
        <v>0</v>
      </c>
      <c r="AO13" s="353">
        <v>0</v>
      </c>
      <c r="AP13" s="353">
        <v>0</v>
      </c>
      <c r="AQ13" s="353">
        <v>0</v>
      </c>
      <c r="AR13" s="353">
        <v>0</v>
      </c>
      <c r="AS13" s="353">
        <v>0</v>
      </c>
      <c r="AT13" s="353">
        <v>0</v>
      </c>
      <c r="AU13" s="353">
        <v>0</v>
      </c>
      <c r="AV13" s="353">
        <v>0</v>
      </c>
      <c r="AW13" s="353">
        <v>0.60749296965050181</v>
      </c>
      <c r="AX13" s="353">
        <v>0.65626576808991388</v>
      </c>
      <c r="AY13" s="353">
        <v>0</v>
      </c>
      <c r="AZ13" s="353">
        <v>0</v>
      </c>
      <c r="BA13" s="353">
        <v>0</v>
      </c>
      <c r="BB13" s="353">
        <v>0</v>
      </c>
      <c r="BC13" s="353">
        <v>0</v>
      </c>
      <c r="BD13" s="353">
        <v>0</v>
      </c>
      <c r="BE13" s="353">
        <v>0</v>
      </c>
      <c r="BF13" s="353">
        <v>0</v>
      </c>
      <c r="BG13" s="353">
        <v>0</v>
      </c>
      <c r="BH13" s="353">
        <v>0</v>
      </c>
      <c r="BI13" s="353">
        <v>0</v>
      </c>
      <c r="BJ13" s="353">
        <v>0.99999997332340629</v>
      </c>
      <c r="BK13" s="353">
        <v>0</v>
      </c>
      <c r="BL13" s="353">
        <v>0</v>
      </c>
      <c r="BM13" s="353">
        <v>0</v>
      </c>
      <c r="BN13" s="353">
        <v>0.16645993492191619</v>
      </c>
      <c r="BO13" s="353">
        <v>0</v>
      </c>
      <c r="BP13" s="353">
        <v>0</v>
      </c>
      <c r="BQ13" s="353">
        <v>0</v>
      </c>
      <c r="BR13" s="353">
        <v>0</v>
      </c>
      <c r="BS13" s="353">
        <v>0</v>
      </c>
      <c r="BT13" s="353">
        <v>0</v>
      </c>
      <c r="BU13" s="353">
        <v>0</v>
      </c>
      <c r="BV13" s="353">
        <v>0.43021869933892548</v>
      </c>
      <c r="BW13" s="353">
        <v>0</v>
      </c>
      <c r="BX13" s="353">
        <v>0</v>
      </c>
      <c r="BY13" s="353">
        <v>0</v>
      </c>
      <c r="BZ13" s="353">
        <v>0</v>
      </c>
      <c r="CA13" s="353">
        <v>0</v>
      </c>
      <c r="CB13" s="353">
        <v>0</v>
      </c>
      <c r="CC13" s="353">
        <v>0</v>
      </c>
      <c r="CD13" s="353">
        <v>0</v>
      </c>
      <c r="CE13" s="353">
        <v>0</v>
      </c>
      <c r="CF13" s="353">
        <v>0</v>
      </c>
      <c r="CG13" s="353">
        <v>0</v>
      </c>
      <c r="CH13" s="353">
        <v>0.83354003840149016</v>
      </c>
      <c r="CI13" s="353">
        <v>0.99999997332340629</v>
      </c>
      <c r="CJ13" s="353">
        <v>0</v>
      </c>
      <c r="CK13" s="353">
        <v>0</v>
      </c>
      <c r="CL13" s="353">
        <v>0</v>
      </c>
      <c r="CM13" s="353">
        <v>0</v>
      </c>
      <c r="CN13" s="353">
        <v>0</v>
      </c>
      <c r="CO13" s="353">
        <v>0</v>
      </c>
      <c r="CP13" s="353">
        <v>0</v>
      </c>
      <c r="CQ13" s="353">
        <v>0</v>
      </c>
      <c r="CR13" s="353">
        <v>0.1368228173371111</v>
      </c>
      <c r="CS13" s="353">
        <v>0</v>
      </c>
      <c r="CT13" s="353">
        <v>0.99999997332340629</v>
      </c>
      <c r="CU13" s="353">
        <v>0</v>
      </c>
      <c r="CV13" s="353">
        <v>0</v>
      </c>
      <c r="CW13" s="353">
        <v>0</v>
      </c>
      <c r="CX13" s="353">
        <v>0</v>
      </c>
      <c r="CY13" s="353">
        <v>0</v>
      </c>
      <c r="CZ13" s="353">
        <v>0</v>
      </c>
      <c r="DA13" s="353">
        <v>0</v>
      </c>
      <c r="DB13" s="353">
        <v>0</v>
      </c>
      <c r="DC13" s="353">
        <v>0.1368228173371111</v>
      </c>
      <c r="DD13" s="353">
        <v>0</v>
      </c>
      <c r="DE13" s="353">
        <v>0</v>
      </c>
      <c r="DF13" s="353">
        <v>0</v>
      </c>
      <c r="DG13" s="353">
        <v>0</v>
      </c>
      <c r="DH13" s="353">
        <v>0</v>
      </c>
      <c r="DI13" s="353">
        <v>0</v>
      </c>
      <c r="DJ13" s="353">
        <v>0</v>
      </c>
      <c r="DK13" s="353">
        <v>0</v>
      </c>
      <c r="DL13" s="353">
        <v>0</v>
      </c>
      <c r="DM13" s="353">
        <v>0</v>
      </c>
      <c r="DN13" s="353">
        <v>0</v>
      </c>
      <c r="DO13" s="353">
        <v>0</v>
      </c>
      <c r="DP13" s="353">
        <v>0</v>
      </c>
      <c r="DQ13" s="353">
        <v>0</v>
      </c>
      <c r="DR13" s="353">
        <v>0</v>
      </c>
      <c r="DS13" s="353">
        <v>0.99999997332340629</v>
      </c>
      <c r="DT13" s="353">
        <v>0.99999997332340629</v>
      </c>
      <c r="DU13" s="353">
        <v>0</v>
      </c>
      <c r="DV13" s="353">
        <v>0</v>
      </c>
      <c r="DW13" s="353">
        <v>0</v>
      </c>
      <c r="DX13" s="353">
        <v>0</v>
      </c>
      <c r="DY13" s="353">
        <v>0</v>
      </c>
      <c r="DZ13" s="353">
        <v>0</v>
      </c>
      <c r="EA13" s="353">
        <v>0.17727427031157619</v>
      </c>
      <c r="EB13" s="353">
        <v>0.39250700367290448</v>
      </c>
      <c r="EC13" s="353">
        <v>0</v>
      </c>
      <c r="ED13" s="353">
        <v>0</v>
      </c>
      <c r="EE13" s="353">
        <v>0</v>
      </c>
      <c r="EF13" s="353">
        <v>0</v>
      </c>
      <c r="EG13" s="353">
        <v>0</v>
      </c>
      <c r="EH13" s="353">
        <v>0</v>
      </c>
      <c r="EI13" s="353">
        <v>0</v>
      </c>
      <c r="EJ13" s="353">
        <v>0</v>
      </c>
      <c r="EK13" s="353">
        <v>0</v>
      </c>
      <c r="EL13" s="353">
        <v>0</v>
      </c>
      <c r="EM13" s="353">
        <v>0</v>
      </c>
      <c r="EN13" s="353">
        <v>0</v>
      </c>
      <c r="EO13" s="353">
        <v>0</v>
      </c>
      <c r="EP13" s="353">
        <v>0</v>
      </c>
      <c r="EQ13" s="353">
        <v>0.86317715598629519</v>
      </c>
      <c r="ER13" s="353">
        <v>0</v>
      </c>
      <c r="ES13" s="353">
        <v>0</v>
      </c>
      <c r="ET13" s="353">
        <v>0</v>
      </c>
      <c r="EU13" s="353">
        <v>0</v>
      </c>
      <c r="EV13" s="353">
        <v>0</v>
      </c>
      <c r="EW13" s="353">
        <v>0</v>
      </c>
      <c r="EX13" s="353">
        <v>0</v>
      </c>
      <c r="EY13" s="353">
        <v>0</v>
      </c>
      <c r="EZ13" s="353">
        <v>0</v>
      </c>
      <c r="FA13" s="353">
        <v>0</v>
      </c>
      <c r="FB13" s="353">
        <v>0</v>
      </c>
      <c r="FC13" s="353">
        <v>0.99999997332340629</v>
      </c>
      <c r="FD13" s="353">
        <v>0</v>
      </c>
      <c r="FE13" s="353">
        <v>0</v>
      </c>
      <c r="FF13" s="353">
        <v>0</v>
      </c>
      <c r="FG13" s="353">
        <v>0</v>
      </c>
      <c r="FH13" s="353">
        <v>0</v>
      </c>
      <c r="FI13" s="353">
        <v>0</v>
      </c>
      <c r="FJ13" s="353">
        <v>0</v>
      </c>
      <c r="FK13" s="353">
        <v>0</v>
      </c>
      <c r="FL13" s="353">
        <v>0</v>
      </c>
      <c r="FM13" s="353">
        <v>0</v>
      </c>
      <c r="FN13" s="353">
        <v>0.99999997332340629</v>
      </c>
      <c r="FO13" s="353">
        <v>0</v>
      </c>
      <c r="FP13" s="353">
        <v>0</v>
      </c>
      <c r="FQ13" s="353">
        <v>0</v>
      </c>
      <c r="FR13" s="353">
        <v>0</v>
      </c>
      <c r="FS13" s="353">
        <v>0</v>
      </c>
      <c r="FT13" s="353">
        <v>0</v>
      </c>
      <c r="FU13" s="353">
        <v>0</v>
      </c>
      <c r="FV13" s="353">
        <v>0</v>
      </c>
      <c r="FW13" s="353">
        <v>0</v>
      </c>
      <c r="FX13" s="353">
        <v>0</v>
      </c>
      <c r="FY13" s="353">
        <v>0</v>
      </c>
      <c r="FZ13" s="353">
        <v>0.99999997332340629</v>
      </c>
      <c r="GA13" s="353">
        <v>0</v>
      </c>
      <c r="GB13" s="353">
        <v>0</v>
      </c>
      <c r="GC13" s="353">
        <v>0</v>
      </c>
      <c r="GD13" s="353">
        <v>0</v>
      </c>
      <c r="GE13" s="353">
        <v>0</v>
      </c>
      <c r="GF13" s="353">
        <v>0</v>
      </c>
      <c r="GG13" s="353">
        <v>0</v>
      </c>
      <c r="GH13" s="353">
        <v>0</v>
      </c>
      <c r="GI13" s="353">
        <v>0</v>
      </c>
      <c r="GJ13" s="353">
        <v>0.65626576808991388</v>
      </c>
      <c r="GK13" s="353">
        <v>0</v>
      </c>
      <c r="GL13" s="353">
        <v>0.99999997332340629</v>
      </c>
      <c r="GM13" s="353">
        <v>0</v>
      </c>
      <c r="GN13" s="353">
        <v>0</v>
      </c>
      <c r="GO13" s="353">
        <v>0</v>
      </c>
      <c r="GP13" s="353">
        <v>0</v>
      </c>
      <c r="GQ13" s="353">
        <v>0</v>
      </c>
      <c r="GR13" s="353">
        <v>0</v>
      </c>
      <c r="GS13" s="353">
        <v>0</v>
      </c>
      <c r="GT13" s="353">
        <v>0</v>
      </c>
      <c r="GU13" s="353">
        <v>0</v>
      </c>
      <c r="GV13" s="353">
        <v>0</v>
      </c>
      <c r="GW13" s="353">
        <v>0</v>
      </c>
      <c r="GX13" s="353">
        <v>0.29339588200181438</v>
      </c>
      <c r="GY13" s="353">
        <v>0.69671722106437906</v>
      </c>
      <c r="GZ13" s="353">
        <v>0</v>
      </c>
      <c r="HA13" s="353">
        <v>0</v>
      </c>
      <c r="HB13" s="353">
        <v>0.48055702257060351</v>
      </c>
      <c r="HC13" s="353">
        <v>0</v>
      </c>
      <c r="HD13" s="353">
        <v>0</v>
      </c>
      <c r="HE13" s="353">
        <v>0</v>
      </c>
      <c r="HF13" s="353">
        <v>0</v>
      </c>
      <c r="HG13" s="353">
        <v>0</v>
      </c>
      <c r="HH13" s="353">
        <v>0</v>
      </c>
      <c r="HI13" s="353">
        <v>0.99999997332340629</v>
      </c>
      <c r="HJ13" s="353">
        <v>0.99999997332340629</v>
      </c>
      <c r="HK13" s="353">
        <v>0.99999997332340629</v>
      </c>
      <c r="HL13" s="353">
        <v>0</v>
      </c>
      <c r="HM13" s="353">
        <v>0</v>
      </c>
      <c r="HN13" s="353">
        <v>0</v>
      </c>
      <c r="HO13" s="353">
        <v>0</v>
      </c>
      <c r="HP13" s="353">
        <v>0</v>
      </c>
      <c r="HQ13" s="353">
        <v>0</v>
      </c>
      <c r="HR13" s="353">
        <v>0.2260470687509884</v>
      </c>
      <c r="HS13" s="353">
        <v>0</v>
      </c>
      <c r="HT13" s="353">
        <v>0</v>
      </c>
      <c r="HU13" s="353">
        <v>0</v>
      </c>
      <c r="HV13" s="353">
        <v>0</v>
      </c>
      <c r="HW13" s="353">
        <v>0.29339588200181438</v>
      </c>
      <c r="HX13" s="353">
        <v>0</v>
      </c>
      <c r="HY13" s="353">
        <v>0</v>
      </c>
      <c r="HZ13" s="353">
        <v>0</v>
      </c>
      <c r="IA13" s="353">
        <v>0.1368228173371111</v>
      </c>
      <c r="IB13" s="353">
        <v>0</v>
      </c>
      <c r="IC13" s="353">
        <v>0</v>
      </c>
      <c r="ID13" s="353">
        <v>0</v>
      </c>
      <c r="IE13" s="353">
        <v>0</v>
      </c>
      <c r="IF13" s="353">
        <v>0</v>
      </c>
      <c r="IG13" s="353">
        <v>0</v>
      </c>
      <c r="IH13" s="353">
        <v>0.60749296965050181</v>
      </c>
      <c r="II13" s="353">
        <v>0</v>
      </c>
      <c r="IJ13" s="353">
        <v>0.47067015231339071</v>
      </c>
      <c r="IK13" s="353">
        <v>0</v>
      </c>
      <c r="IL13" s="353">
        <v>0</v>
      </c>
      <c r="IM13" s="353">
        <v>0</v>
      </c>
      <c r="IN13" s="353">
        <v>0</v>
      </c>
      <c r="IO13" s="353">
        <v>0</v>
      </c>
      <c r="IP13" s="353">
        <v>0</v>
      </c>
      <c r="IQ13" s="353">
        <v>0</v>
      </c>
      <c r="IR13" s="353">
        <v>0</v>
      </c>
      <c r="IS13" s="353">
        <v>0</v>
      </c>
      <c r="IT13" s="353">
        <v>0</v>
      </c>
      <c r="IU13" s="353">
        <v>0</v>
      </c>
      <c r="IV13" s="353">
        <v>0</v>
      </c>
      <c r="IW13" s="353">
        <v>0.1368228173371111</v>
      </c>
      <c r="IX13" s="353">
        <v>0</v>
      </c>
      <c r="IY13" s="353">
        <v>0</v>
      </c>
      <c r="IZ13" s="353">
        <v>0</v>
      </c>
      <c r="JA13" s="353">
        <v>0</v>
      </c>
      <c r="JB13" s="353">
        <v>0</v>
      </c>
      <c r="JC13" s="353">
        <v>0</v>
      </c>
      <c r="JD13" s="353">
        <v>0</v>
      </c>
      <c r="JE13" s="353">
        <v>0</v>
      </c>
      <c r="JF13" s="353">
        <v>0.99999997332340629</v>
      </c>
      <c r="JG13" s="353">
        <v>0</v>
      </c>
      <c r="JH13" s="353">
        <v>0</v>
      </c>
      <c r="JI13" s="353">
        <v>0</v>
      </c>
      <c r="JJ13" s="353">
        <v>0</v>
      </c>
      <c r="JK13" s="353">
        <v>0</v>
      </c>
      <c r="JL13" s="353">
        <v>0</v>
      </c>
      <c r="JM13" s="353">
        <v>0</v>
      </c>
      <c r="JN13" s="353">
        <v>0</v>
      </c>
      <c r="JO13" s="353">
        <v>0.70660409132159185</v>
      </c>
      <c r="JP13" s="353">
        <v>0.2260470687509884</v>
      </c>
      <c r="JQ13" s="353">
        <v>0.70660409132159185</v>
      </c>
      <c r="JR13" s="354">
        <v>0.99999997332340629</v>
      </c>
      <c r="JS13" s="353">
        <v>0.47067015231339071</v>
      </c>
      <c r="JT13" s="353">
        <v>0</v>
      </c>
      <c r="JU13" s="353">
        <v>0</v>
      </c>
      <c r="JV13" s="353">
        <v>0</v>
      </c>
      <c r="JW13" s="353">
        <v>0.1368228173371111</v>
      </c>
      <c r="JX13" s="353">
        <v>0</v>
      </c>
      <c r="JY13" s="353">
        <v>0</v>
      </c>
      <c r="JZ13" s="353">
        <v>0</v>
      </c>
      <c r="KA13" s="353">
        <v>0</v>
      </c>
      <c r="KB13" s="353">
        <v>0</v>
      </c>
      <c r="KC13" s="353">
        <v>0</v>
      </c>
      <c r="KD13" s="353">
        <v>0.69671722106437906</v>
      </c>
      <c r="KE13" s="353">
        <v>0.86317715598629519</v>
      </c>
      <c r="KF13" s="353">
        <v>0</v>
      </c>
      <c r="KG13" s="353">
        <v>0</v>
      </c>
      <c r="KH13" s="353">
        <v>0.1368228173371111</v>
      </c>
      <c r="KI13" s="353">
        <v>0</v>
      </c>
      <c r="KJ13" s="353">
        <v>0</v>
      </c>
      <c r="KK13" s="353">
        <v>0</v>
      </c>
      <c r="KL13" s="353">
        <v>0</v>
      </c>
      <c r="KM13" s="353">
        <v>0.99999997332340629</v>
      </c>
      <c r="KN13" s="353">
        <v>0.1368228173371111</v>
      </c>
      <c r="KO13" s="353">
        <v>0</v>
      </c>
      <c r="KP13" s="353">
        <v>0.99999997332340629</v>
      </c>
      <c r="KQ13" s="353">
        <v>0</v>
      </c>
      <c r="KR13" s="353">
        <v>0</v>
      </c>
      <c r="KS13" s="353">
        <v>0</v>
      </c>
      <c r="KT13" s="353">
        <v>0</v>
      </c>
      <c r="KU13" s="353">
        <v>0</v>
      </c>
      <c r="KV13" s="353">
        <v>0</v>
      </c>
      <c r="KW13" s="353">
        <v>0</v>
      </c>
      <c r="KX13" s="353">
        <v>0</v>
      </c>
      <c r="KY13" s="353">
        <v>0</v>
      </c>
      <c r="KZ13" s="353">
        <v>0</v>
      </c>
      <c r="LA13" s="353">
        <v>0</v>
      </c>
      <c r="LB13" s="353">
        <v>0.29339588200181438</v>
      </c>
      <c r="LC13" s="353">
        <v>0</v>
      </c>
      <c r="LD13" s="353">
        <v>0</v>
      </c>
      <c r="LE13" s="353">
        <v>0</v>
      </c>
      <c r="LF13" s="353">
        <v>0</v>
      </c>
      <c r="LG13" s="353">
        <v>0</v>
      </c>
      <c r="LH13" s="353">
        <v>0</v>
      </c>
      <c r="LI13" s="353">
        <v>0</v>
      </c>
      <c r="LJ13" s="353">
        <v>0</v>
      </c>
      <c r="LK13" s="353">
        <v>0</v>
      </c>
      <c r="LL13" s="353">
        <v>0</v>
      </c>
      <c r="LM13" s="353">
        <v>0</v>
      </c>
      <c r="LN13" s="353">
        <v>0</v>
      </c>
      <c r="LO13" s="353">
        <v>0.29339588200181438</v>
      </c>
      <c r="LP13" s="353">
        <v>0</v>
      </c>
      <c r="LQ13" s="353">
        <v>0</v>
      </c>
      <c r="LR13" s="353">
        <v>0</v>
      </c>
      <c r="LS13" s="353">
        <v>0</v>
      </c>
      <c r="LT13" s="353">
        <v>0</v>
      </c>
      <c r="LU13" s="353">
        <v>0</v>
      </c>
      <c r="LV13" s="353">
        <v>0</v>
      </c>
      <c r="LW13" s="353">
        <v>0</v>
      </c>
      <c r="LX13" s="353">
        <v>0</v>
      </c>
      <c r="LY13" s="353">
        <v>0</v>
      </c>
      <c r="LZ13" s="353">
        <v>0</v>
      </c>
      <c r="MA13" s="353">
        <v>0</v>
      </c>
      <c r="MB13" s="353">
        <v>0</v>
      </c>
      <c r="MC13" s="353">
        <v>0</v>
      </c>
      <c r="MD13" s="353">
        <v>0</v>
      </c>
      <c r="ME13" s="353">
        <v>0</v>
      </c>
      <c r="MF13" s="353">
        <v>0</v>
      </c>
      <c r="MG13" s="353">
        <v>0</v>
      </c>
      <c r="MH13" s="353">
        <v>0</v>
      </c>
      <c r="MI13" s="353">
        <v>0</v>
      </c>
      <c r="MJ13" s="353">
        <v>0</v>
      </c>
      <c r="MK13" s="353">
        <v>0</v>
      </c>
      <c r="ML13" s="353">
        <v>0.86317715598629519</v>
      </c>
      <c r="MM13" s="353">
        <v>0</v>
      </c>
      <c r="MN13" s="353">
        <v>0</v>
      </c>
      <c r="MO13" s="353">
        <v>0</v>
      </c>
      <c r="MP13" s="353">
        <v>0</v>
      </c>
      <c r="MQ13" s="353">
        <v>0</v>
      </c>
      <c r="MR13" s="353">
        <v>0</v>
      </c>
      <c r="MS13" s="353">
        <v>0</v>
      </c>
      <c r="MT13" s="353">
        <v>0</v>
      </c>
      <c r="MU13" s="353">
        <v>0.1368228173371111</v>
      </c>
      <c r="MV13" s="353">
        <v>0</v>
      </c>
      <c r="MW13" s="353">
        <v>0.60749296965050181</v>
      </c>
      <c r="MX13" s="353">
        <v>0.86317715598629519</v>
      </c>
      <c r="MY13" s="353">
        <v>0.99999997332340629</v>
      </c>
      <c r="MZ13" s="353">
        <v>0</v>
      </c>
      <c r="NA13" s="353">
        <v>0</v>
      </c>
      <c r="NB13" s="353">
        <v>0</v>
      </c>
      <c r="NC13" s="353">
        <v>0</v>
      </c>
      <c r="ND13" s="353">
        <v>0</v>
      </c>
      <c r="NE13" s="353">
        <v>0</v>
      </c>
      <c r="NF13" s="353">
        <v>0</v>
      </c>
      <c r="NG13" s="353">
        <v>0</v>
      </c>
      <c r="NH13" s="353">
        <v>0</v>
      </c>
      <c r="NI13" s="353">
        <v>0.17727427031157619</v>
      </c>
      <c r="NJ13" s="353">
        <v>0</v>
      </c>
      <c r="NK13" s="353">
        <v>0.99999997332340629</v>
      </c>
      <c r="NL13" s="353">
        <v>0</v>
      </c>
      <c r="NM13" s="353">
        <v>0</v>
      </c>
      <c r="NN13" s="353">
        <v>0</v>
      </c>
      <c r="NO13" s="353">
        <v>0</v>
      </c>
      <c r="NP13" s="353">
        <v>0</v>
      </c>
      <c r="NQ13" s="353">
        <v>0</v>
      </c>
      <c r="NR13" s="353">
        <v>0.56978127398448075</v>
      </c>
      <c r="NS13" s="353">
        <v>0.99999997332340629</v>
      </c>
      <c r="NT13" s="353">
        <v>0.52932982101001569</v>
      </c>
      <c r="NU13" s="353">
        <v>0.56978127398448075</v>
      </c>
      <c r="NV13" s="353">
        <v>0.99999997332340629</v>
      </c>
      <c r="NW13" s="353">
        <v>0.51944295075280278</v>
      </c>
      <c r="NX13" s="353">
        <v>0.99999997332340629</v>
      </c>
      <c r="NY13" s="353">
        <v>0</v>
      </c>
      <c r="NZ13" s="353">
        <v>0</v>
      </c>
      <c r="OA13" s="353">
        <v>0</v>
      </c>
      <c r="OB13" s="353">
        <v>0</v>
      </c>
      <c r="OC13" s="353">
        <v>0</v>
      </c>
      <c r="OD13" s="353">
        <v>0.86317715598629519</v>
      </c>
      <c r="OE13" s="353">
        <v>0</v>
      </c>
      <c r="OF13" s="353">
        <v>0.99999997332340629</v>
      </c>
      <c r="OG13" s="353">
        <v>0</v>
      </c>
      <c r="OH13" s="353">
        <v>0</v>
      </c>
      <c r="OI13" s="353">
        <v>0</v>
      </c>
      <c r="OJ13" s="353">
        <v>0</v>
      </c>
      <c r="OK13" s="353">
        <v>0</v>
      </c>
      <c r="OL13" s="353">
        <v>0</v>
      </c>
      <c r="OM13" s="353">
        <v>0</v>
      </c>
      <c r="ON13" s="353">
        <v>0</v>
      </c>
      <c r="OO13" s="353">
        <v>0</v>
      </c>
      <c r="OP13" s="353">
        <v>0</v>
      </c>
      <c r="OQ13" s="353">
        <v>0</v>
      </c>
      <c r="OR13" s="353">
        <v>0</v>
      </c>
      <c r="OS13" s="353">
        <v>0</v>
      </c>
      <c r="OT13" s="353">
        <v>0.86317715598629519</v>
      </c>
      <c r="OU13" s="353">
        <v>0.29339588200181438</v>
      </c>
      <c r="OV13" s="353">
        <v>0</v>
      </c>
      <c r="OW13" s="353">
        <v>0</v>
      </c>
      <c r="OX13" s="353">
        <v>0</v>
      </c>
      <c r="OY13" s="353">
        <v>0</v>
      </c>
      <c r="OZ13" s="353">
        <v>0</v>
      </c>
      <c r="PA13" s="353">
        <v>0</v>
      </c>
      <c r="PB13" s="353">
        <v>0</v>
      </c>
      <c r="PC13" s="353">
        <v>0</v>
      </c>
      <c r="PD13" s="353">
        <v>0</v>
      </c>
      <c r="PE13" s="353">
        <v>0.99999997332340629</v>
      </c>
      <c r="PF13" s="353">
        <v>0.99999997332340629</v>
      </c>
      <c r="PG13" s="353">
        <v>0.99999997332340629</v>
      </c>
      <c r="PH13" s="353">
        <v>0</v>
      </c>
      <c r="PI13" s="353">
        <v>0</v>
      </c>
      <c r="PJ13" s="353">
        <v>0.3628698860880995</v>
      </c>
      <c r="PK13" s="353">
        <v>0</v>
      </c>
      <c r="PL13" s="353">
        <v>0</v>
      </c>
      <c r="PM13" s="353">
        <v>0</v>
      </c>
      <c r="PN13" s="353">
        <v>0</v>
      </c>
      <c r="PO13" s="353">
        <v>0.99999997332340629</v>
      </c>
      <c r="PP13" s="353">
        <v>0</v>
      </c>
      <c r="PQ13" s="353">
        <v>0</v>
      </c>
      <c r="PR13" s="353">
        <v>0.63713008723530684</v>
      </c>
      <c r="PS13" s="353">
        <v>0.99999997332340629</v>
      </c>
      <c r="PT13" s="353">
        <v>0.99999997332340629</v>
      </c>
      <c r="PU13" s="353">
        <v>0</v>
      </c>
      <c r="PV13" s="353">
        <v>0</v>
      </c>
      <c r="PW13" s="353">
        <v>0</v>
      </c>
      <c r="PX13" s="353">
        <v>0</v>
      </c>
      <c r="PY13" s="353">
        <v>0</v>
      </c>
      <c r="PZ13" s="353">
        <v>0.99999997332340629</v>
      </c>
      <c r="QA13" s="353">
        <v>0</v>
      </c>
      <c r="QB13" s="353">
        <v>0.52932982101001569</v>
      </c>
      <c r="QC13" s="353">
        <v>0.70660409132159185</v>
      </c>
      <c r="QD13" s="353">
        <v>0.99999997332340629</v>
      </c>
      <c r="QE13" s="353">
        <v>0.99999997332340629</v>
      </c>
      <c r="QF13" s="353">
        <v>0</v>
      </c>
      <c r="QG13" s="353">
        <v>0.30328275225902729</v>
      </c>
      <c r="QH13" s="353">
        <v>0.99999997332340629</v>
      </c>
      <c r="QI13" s="353">
        <v>0</v>
      </c>
      <c r="QJ13" s="353">
        <v>0</v>
      </c>
      <c r="QK13" s="353">
        <v>0</v>
      </c>
      <c r="QL13" s="353">
        <v>0.63713008723530684</v>
      </c>
      <c r="QM13" s="353">
        <v>0.99999997332340629</v>
      </c>
      <c r="QN13" s="353">
        <v>0</v>
      </c>
      <c r="QO13" s="353">
        <v>0</v>
      </c>
      <c r="QP13" s="353">
        <v>0.63713008723530684</v>
      </c>
      <c r="QQ13" s="353">
        <v>0.99999997332340629</v>
      </c>
      <c r="QR13" s="353">
        <v>0</v>
      </c>
      <c r="QS13" s="353">
        <v>0</v>
      </c>
      <c r="QT13" s="353">
        <v>0</v>
      </c>
      <c r="QU13" s="353">
        <v>0</v>
      </c>
      <c r="QV13" s="353">
        <v>0</v>
      </c>
      <c r="QW13" s="353">
        <v>0</v>
      </c>
      <c r="QX13" s="353">
        <v>0</v>
      </c>
      <c r="QY13" s="353">
        <v>0</v>
      </c>
      <c r="QZ13" s="353">
        <v>0</v>
      </c>
      <c r="RA13" s="353">
        <v>0</v>
      </c>
      <c r="RB13" s="353">
        <v>0.86317715598629519</v>
      </c>
      <c r="RC13" s="353">
        <v>0.69671722106437906</v>
      </c>
      <c r="RD13" s="353">
        <v>0</v>
      </c>
      <c r="RE13" s="353">
        <v>0.99999997332340629</v>
      </c>
      <c r="RF13" s="353">
        <v>0</v>
      </c>
      <c r="RG13" s="353">
        <v>0</v>
      </c>
      <c r="RH13" s="353">
        <v>0</v>
      </c>
      <c r="RI13" s="353">
        <v>0</v>
      </c>
      <c r="RJ13" s="353">
        <v>0</v>
      </c>
      <c r="RK13" s="353">
        <v>0</v>
      </c>
      <c r="RL13" s="353">
        <v>0</v>
      </c>
      <c r="RM13" s="353">
        <v>0</v>
      </c>
      <c r="RN13" s="353">
        <v>0.86317715598629519</v>
      </c>
      <c r="RO13" s="353">
        <v>0.99999997332340629</v>
      </c>
      <c r="RP13" s="353">
        <v>0</v>
      </c>
      <c r="RQ13" s="353">
        <v>0</v>
      </c>
      <c r="RR13" s="353">
        <v>0</v>
      </c>
      <c r="RS13" s="353">
        <v>0</v>
      </c>
      <c r="RT13" s="353">
        <v>0</v>
      </c>
      <c r="RU13" s="353">
        <v>0</v>
      </c>
      <c r="RV13" s="353">
        <v>0</v>
      </c>
      <c r="RW13" s="353">
        <v>0</v>
      </c>
      <c r="RX13" s="353">
        <v>0.3628698860880995</v>
      </c>
      <c r="RY13" s="353">
        <v>0.2260470687509884</v>
      </c>
      <c r="RZ13" s="353">
        <v>0</v>
      </c>
      <c r="SA13" s="353">
        <v>0</v>
      </c>
      <c r="SB13" s="353">
        <v>0</v>
      </c>
      <c r="SC13" s="353">
        <v>0</v>
      </c>
      <c r="SD13" s="353">
        <v>0</v>
      </c>
      <c r="SE13" s="353">
        <v>0</v>
      </c>
      <c r="SF13" s="353">
        <v>0</v>
      </c>
      <c r="SG13" s="353">
        <v>0</v>
      </c>
      <c r="SH13" s="353">
        <v>0</v>
      </c>
      <c r="SI13" s="353">
        <v>0</v>
      </c>
      <c r="SJ13" s="353">
        <v>0</v>
      </c>
      <c r="SK13" s="353">
        <v>0</v>
      </c>
      <c r="SL13" s="353">
        <v>0.99999997332340629</v>
      </c>
      <c r="SM13" s="353">
        <v>0.99999997332340629</v>
      </c>
      <c r="SN13" s="353">
        <v>0</v>
      </c>
      <c r="SO13" s="353">
        <v>0</v>
      </c>
      <c r="SP13" s="353">
        <v>0</v>
      </c>
      <c r="SQ13" s="353">
        <v>0</v>
      </c>
      <c r="SR13" s="353">
        <v>0</v>
      </c>
      <c r="SS13" s="353">
        <v>0</v>
      </c>
      <c r="ST13" s="353">
        <v>0</v>
      </c>
      <c r="SU13" s="353">
        <v>0</v>
      </c>
      <c r="SV13" s="353">
        <v>0.2260470687509884</v>
      </c>
      <c r="SW13" s="353">
        <v>0</v>
      </c>
      <c r="SX13" s="353">
        <v>0.99999997332340629</v>
      </c>
      <c r="SY13" s="353">
        <v>0.29339588200181438</v>
      </c>
      <c r="SZ13" s="353">
        <v>0</v>
      </c>
      <c r="TA13" s="353">
        <v>0</v>
      </c>
      <c r="TB13" s="353">
        <v>0</v>
      </c>
      <c r="TC13" s="353">
        <v>0</v>
      </c>
      <c r="TD13" s="353">
        <v>0</v>
      </c>
      <c r="TE13" s="353">
        <v>0</v>
      </c>
      <c r="TF13" s="353">
        <v>0</v>
      </c>
      <c r="TG13" s="353">
        <v>0.70660409132159185</v>
      </c>
      <c r="TH13" s="353">
        <v>0</v>
      </c>
      <c r="TI13" s="353">
        <v>0</v>
      </c>
      <c r="TJ13" s="353">
        <v>0.99999997332340629</v>
      </c>
      <c r="TK13" s="353">
        <v>0.99999997332340629</v>
      </c>
      <c r="TL13" s="353">
        <v>0</v>
      </c>
      <c r="TM13" s="353">
        <v>0</v>
      </c>
      <c r="TN13" s="353">
        <v>0</v>
      </c>
      <c r="TO13" s="353">
        <v>0</v>
      </c>
      <c r="TP13" s="353">
        <v>0</v>
      </c>
      <c r="TQ13" s="353">
        <v>0</v>
      </c>
      <c r="TR13" s="353">
        <v>0</v>
      </c>
      <c r="TS13" s="353">
        <v>0</v>
      </c>
      <c r="TT13" s="353">
        <v>0</v>
      </c>
      <c r="TU13" s="353">
        <v>0.47067015231339071</v>
      </c>
      <c r="TV13" s="353">
        <v>0.99999997332340629</v>
      </c>
      <c r="TW13" s="353">
        <v>0</v>
      </c>
      <c r="TX13" s="353">
        <v>0</v>
      </c>
      <c r="TY13" s="353">
        <v>0</v>
      </c>
      <c r="TZ13" s="353">
        <v>0</v>
      </c>
      <c r="UA13" s="353">
        <v>0</v>
      </c>
      <c r="UB13" s="353">
        <v>0</v>
      </c>
      <c r="UC13" s="353">
        <v>0</v>
      </c>
      <c r="UD13" s="353">
        <v>0</v>
      </c>
      <c r="UE13" s="353">
        <v>0</v>
      </c>
      <c r="UF13" s="353">
        <v>0</v>
      </c>
      <c r="UG13" s="353">
        <v>0.99999997332340629</v>
      </c>
      <c r="UH13" s="353">
        <v>0.99999997332340629</v>
      </c>
      <c r="UI13" s="353">
        <v>0</v>
      </c>
      <c r="UJ13" s="353">
        <v>0</v>
      </c>
      <c r="UK13" s="353">
        <v>0.1368228173371111</v>
      </c>
      <c r="UL13" s="353">
        <v>0.99999997332340629</v>
      </c>
      <c r="UM13" s="353">
        <v>0</v>
      </c>
      <c r="UN13" s="353">
        <v>0</v>
      </c>
      <c r="UO13" s="353">
        <v>0</v>
      </c>
      <c r="UP13" s="353">
        <v>0</v>
      </c>
      <c r="UQ13" s="353">
        <v>0</v>
      </c>
      <c r="UR13" s="353">
        <v>0</v>
      </c>
      <c r="US13" s="353">
        <v>0.99999997332340629</v>
      </c>
      <c r="UT13" s="353">
        <v>0</v>
      </c>
      <c r="UU13" s="353">
        <v>0.99999997332340629</v>
      </c>
      <c r="UV13" s="353">
        <v>0.51944295075280278</v>
      </c>
      <c r="UW13" s="353">
        <v>0</v>
      </c>
      <c r="UX13" s="353">
        <v>0</v>
      </c>
      <c r="UY13" s="353">
        <v>0</v>
      </c>
      <c r="UZ13" s="353">
        <v>0</v>
      </c>
      <c r="VA13" s="353">
        <v>0</v>
      </c>
      <c r="VB13" s="353">
        <v>0</v>
      </c>
      <c r="VC13" s="353">
        <v>0</v>
      </c>
      <c r="VD13" s="353">
        <v>0.2260470687509884</v>
      </c>
      <c r="VE13" s="353">
        <v>0</v>
      </c>
      <c r="VF13" s="353">
        <v>0.99999997332340629</v>
      </c>
      <c r="VG13" s="353">
        <v>0.99999997332340629</v>
      </c>
      <c r="VH13" s="353">
        <v>0</v>
      </c>
      <c r="VI13" s="353">
        <v>0</v>
      </c>
      <c r="VJ13" s="353">
        <v>0.63713008723530684</v>
      </c>
      <c r="VK13" s="353">
        <v>0</v>
      </c>
      <c r="VL13" s="353">
        <v>0</v>
      </c>
      <c r="VM13" s="353">
        <v>0</v>
      </c>
      <c r="VN13" s="353">
        <v>0.70660409132159185</v>
      </c>
      <c r="VO13" s="353">
        <v>0.99999997332340629</v>
      </c>
      <c r="VP13" s="353">
        <v>0.1368228173371111</v>
      </c>
      <c r="VQ13" s="353">
        <v>0</v>
      </c>
      <c r="VR13" s="353">
        <v>0.99999997332340629</v>
      </c>
      <c r="VS13" s="353">
        <v>0.99999997332340629</v>
      </c>
      <c r="VT13" s="353">
        <v>0</v>
      </c>
      <c r="VU13" s="353">
        <v>0</v>
      </c>
      <c r="VV13" s="353">
        <v>0</v>
      </c>
      <c r="VW13" s="353">
        <v>0</v>
      </c>
      <c r="VX13" s="353">
        <v>0</v>
      </c>
      <c r="VY13" s="353">
        <v>0</v>
      </c>
      <c r="VZ13" s="353">
        <v>0</v>
      </c>
      <c r="WA13" s="353">
        <v>0</v>
      </c>
      <c r="WB13" s="353">
        <v>0</v>
      </c>
      <c r="WC13" s="353">
        <v>0.83354003840149016</v>
      </c>
      <c r="WD13" s="353">
        <v>0.60749296965050181</v>
      </c>
      <c r="WE13" s="353">
        <v>0.99999997332340629</v>
      </c>
      <c r="WF13" s="353">
        <v>0.51944295075280278</v>
      </c>
      <c r="WG13" s="353">
        <v>0</v>
      </c>
      <c r="WH13" s="353">
        <v>0</v>
      </c>
      <c r="WI13" s="353">
        <v>0</v>
      </c>
      <c r="WJ13" s="353">
        <v>0</v>
      </c>
      <c r="WK13" s="353">
        <v>0</v>
      </c>
      <c r="WL13" s="353">
        <v>0</v>
      </c>
      <c r="WM13" s="353">
        <v>0</v>
      </c>
      <c r="WN13" s="353">
        <v>0</v>
      </c>
      <c r="WO13" s="353">
        <v>0</v>
      </c>
      <c r="WP13" s="353">
        <v>0.99999997332340629</v>
      </c>
      <c r="WQ13" s="353">
        <v>0</v>
      </c>
      <c r="WR13" s="353">
        <v>0.51944295075280278</v>
      </c>
      <c r="WS13" s="353">
        <v>0</v>
      </c>
      <c r="WT13" s="353">
        <v>0</v>
      </c>
      <c r="WU13" s="353">
        <v>0</v>
      </c>
      <c r="WV13" s="353">
        <v>0</v>
      </c>
      <c r="WW13" s="353">
        <v>0</v>
      </c>
      <c r="WX13" s="353">
        <v>0</v>
      </c>
      <c r="WY13" s="353">
        <v>0</v>
      </c>
      <c r="WZ13" s="353">
        <v>0.2260470687509884</v>
      </c>
      <c r="XA13" s="353">
        <v>0.31409708764868732</v>
      </c>
      <c r="XB13" s="353">
        <v>0.86317715598629519</v>
      </c>
      <c r="XC13" s="353">
        <v>0.29339588200181438</v>
      </c>
      <c r="XD13" s="353">
        <v>0</v>
      </c>
      <c r="XE13" s="353">
        <v>0</v>
      </c>
      <c r="XF13" s="353">
        <v>0</v>
      </c>
      <c r="XG13" s="353">
        <v>0</v>
      </c>
      <c r="XH13" s="353">
        <v>0</v>
      </c>
      <c r="XI13" s="353">
        <v>0</v>
      </c>
      <c r="XJ13" s="353">
        <v>0</v>
      </c>
      <c r="XK13" s="353">
        <v>0.1368228173371111</v>
      </c>
      <c r="XL13" s="353">
        <v>0</v>
      </c>
      <c r="XM13" s="353">
        <v>0</v>
      </c>
      <c r="XN13" s="353">
        <v>0.68590288567471902</v>
      </c>
      <c r="XO13" s="353">
        <v>0.99999997332340629</v>
      </c>
      <c r="XP13" s="353">
        <v>0</v>
      </c>
      <c r="XQ13" s="353">
        <v>0</v>
      </c>
      <c r="XR13" s="353">
        <v>0</v>
      </c>
      <c r="XS13" s="353">
        <v>0</v>
      </c>
      <c r="XT13" s="353">
        <v>0</v>
      </c>
      <c r="XU13" s="353">
        <v>0</v>
      </c>
      <c r="XV13" s="353">
        <v>0</v>
      </c>
      <c r="XW13" s="353">
        <v>0</v>
      </c>
      <c r="XX13" s="353">
        <v>0</v>
      </c>
      <c r="XY13" s="353">
        <v>0.40332133906256462</v>
      </c>
      <c r="XZ13" s="353">
        <v>0.99999997332340629</v>
      </c>
      <c r="YA13" s="353">
        <v>0.63713008723530684</v>
      </c>
      <c r="YB13" s="353">
        <v>0</v>
      </c>
      <c r="YC13" s="353">
        <v>0</v>
      </c>
      <c r="YD13" s="353">
        <v>0</v>
      </c>
      <c r="YE13" s="353">
        <v>0</v>
      </c>
      <c r="YF13" s="353">
        <v>0</v>
      </c>
      <c r="YG13" s="353">
        <v>0</v>
      </c>
      <c r="YH13" s="353">
        <v>0</v>
      </c>
      <c r="YI13" s="353">
        <v>0</v>
      </c>
      <c r="YJ13" s="353">
        <v>0</v>
      </c>
      <c r="YK13" s="353">
        <v>0</v>
      </c>
      <c r="YL13" s="353">
        <v>0.99999997332340629</v>
      </c>
      <c r="YM13" s="353">
        <v>0</v>
      </c>
      <c r="YN13" s="353">
        <v>0</v>
      </c>
      <c r="YO13" s="353">
        <v>0</v>
      </c>
      <c r="YP13" s="353">
        <v>0.1368228173371111</v>
      </c>
      <c r="YQ13" s="353">
        <v>0</v>
      </c>
      <c r="YR13" s="353">
        <v>0</v>
      </c>
      <c r="YS13" s="353">
        <v>0</v>
      </c>
      <c r="YT13" s="353">
        <v>0</v>
      </c>
      <c r="YU13" s="353">
        <v>0</v>
      </c>
      <c r="YV13" s="353">
        <v>0</v>
      </c>
      <c r="YW13" s="353">
        <v>0.99999997332340629</v>
      </c>
      <c r="YX13" s="353">
        <v>0.99999997332340629</v>
      </c>
      <c r="YY13" s="353">
        <v>0.99999997332340629</v>
      </c>
      <c r="YZ13" s="353">
        <v>0.69671722106437906</v>
      </c>
      <c r="ZA13" s="353">
        <v>0</v>
      </c>
      <c r="ZB13" s="353">
        <v>0</v>
      </c>
      <c r="ZC13" s="353">
        <v>0</v>
      </c>
      <c r="ZD13" s="353">
        <v>0</v>
      </c>
      <c r="ZE13" s="353">
        <v>0</v>
      </c>
      <c r="ZF13" s="353">
        <v>0</v>
      </c>
      <c r="ZG13" s="353">
        <v>0</v>
      </c>
      <c r="ZH13" s="353">
        <v>0</v>
      </c>
      <c r="ZI13" s="353">
        <v>0.17727427031157619</v>
      </c>
      <c r="ZJ13" s="353">
        <v>0.99999997332340629</v>
      </c>
      <c r="ZK13" s="353">
        <v>0</v>
      </c>
      <c r="ZL13" s="353">
        <v>0</v>
      </c>
      <c r="ZM13" s="353">
        <v>0</v>
      </c>
      <c r="ZN13" s="353">
        <v>0</v>
      </c>
      <c r="ZO13" s="353">
        <v>0</v>
      </c>
      <c r="ZP13" s="353">
        <v>0</v>
      </c>
      <c r="ZQ13" s="353">
        <v>0</v>
      </c>
      <c r="ZR13" s="353">
        <v>0</v>
      </c>
      <c r="ZS13" s="353">
        <v>0</v>
      </c>
      <c r="ZT13" s="353">
        <v>0.3628698860880995</v>
      </c>
      <c r="ZU13" s="353">
        <v>0.2260470687509884</v>
      </c>
      <c r="ZV13" s="353">
        <v>0.99999997332340629</v>
      </c>
      <c r="ZW13" s="353">
        <v>0</v>
      </c>
      <c r="ZX13" s="353">
        <v>0</v>
      </c>
      <c r="ZY13" s="353">
        <v>0.99999997332340629</v>
      </c>
      <c r="ZZ13" s="353">
        <v>0</v>
      </c>
      <c r="AAA13" s="353">
        <v>0</v>
      </c>
      <c r="AAB13" s="353">
        <v>0</v>
      </c>
      <c r="AAC13" s="353">
        <v>0</v>
      </c>
      <c r="AAD13" s="353">
        <v>0</v>
      </c>
      <c r="AAE13" s="353">
        <v>0</v>
      </c>
      <c r="AAF13" s="353">
        <v>0</v>
      </c>
      <c r="AAG13" s="353">
        <v>0.99999997332340629</v>
      </c>
      <c r="AAH13" s="353">
        <v>0.47067015231339071</v>
      </c>
      <c r="AAI13" s="353">
        <v>0</v>
      </c>
      <c r="AAJ13" s="353">
        <v>0</v>
      </c>
      <c r="AAK13" s="353">
        <v>0.16645993492191619</v>
      </c>
      <c r="AAL13" s="353">
        <v>0</v>
      </c>
      <c r="AAM13" s="353">
        <v>0</v>
      </c>
      <c r="AAN13" s="353">
        <v>0</v>
      </c>
      <c r="AAO13" s="353">
        <v>0</v>
      </c>
      <c r="AAP13" s="353">
        <v>0.2260470687509884</v>
      </c>
      <c r="AAQ13" s="353">
        <v>0.99999997332340629</v>
      </c>
      <c r="AAR13" s="353">
        <v>0.70660409132159185</v>
      </c>
      <c r="AAS13" s="353">
        <v>0.56978127398448075</v>
      </c>
      <c r="AAT13" s="353">
        <v>0.99999997332340629</v>
      </c>
      <c r="AAU13" s="353">
        <v>0.82272570301183012</v>
      </c>
      <c r="AAV13" s="353">
        <v>0</v>
      </c>
      <c r="AAW13" s="353">
        <v>0</v>
      </c>
      <c r="AAX13" s="353">
        <v>0</v>
      </c>
      <c r="AAY13" s="353">
        <v>0</v>
      </c>
      <c r="AAZ13" s="353">
        <v>0</v>
      </c>
      <c r="ABA13" s="353">
        <v>0</v>
      </c>
      <c r="ABB13" s="353">
        <v>0</v>
      </c>
      <c r="ABC13" s="353">
        <v>0.70660409132159185</v>
      </c>
      <c r="ABD13" s="353">
        <v>0</v>
      </c>
      <c r="ABE13" s="353">
        <v>0.86317715598629519</v>
      </c>
      <c r="ABF13" s="353">
        <v>0.99999997332340629</v>
      </c>
      <c r="ABG13" s="353">
        <v>0</v>
      </c>
      <c r="ABH13" s="353">
        <v>0</v>
      </c>
      <c r="ABI13" s="353">
        <v>0</v>
      </c>
      <c r="ABJ13" s="353">
        <v>0</v>
      </c>
      <c r="ABK13" s="353">
        <v>0</v>
      </c>
      <c r="ABL13" s="353">
        <v>0</v>
      </c>
      <c r="ABM13" s="353">
        <v>0</v>
      </c>
      <c r="ABN13" s="353">
        <v>0</v>
      </c>
      <c r="ABO13" s="353">
        <v>0</v>
      </c>
      <c r="ABP13" s="353">
        <v>0</v>
      </c>
      <c r="ABQ13" s="353">
        <v>0.48055702257060351</v>
      </c>
      <c r="ABR13" s="353">
        <v>0</v>
      </c>
      <c r="ABS13" s="353">
        <v>0.82272570301183012</v>
      </c>
      <c r="ABT13" s="353">
        <v>0</v>
      </c>
      <c r="ABU13" s="353">
        <v>0</v>
      </c>
      <c r="ABV13" s="353">
        <v>0</v>
      </c>
      <c r="ABW13" s="353">
        <v>0</v>
      </c>
      <c r="ABX13" s="353">
        <v>0</v>
      </c>
      <c r="ABY13" s="353">
        <v>0</v>
      </c>
      <c r="ABZ13" s="353">
        <v>0.99999997332340629</v>
      </c>
      <c r="ACA13" s="353">
        <v>0</v>
      </c>
      <c r="ACB13" s="353">
        <v>0</v>
      </c>
      <c r="ACC13" s="353">
        <v>0</v>
      </c>
      <c r="ACD13" s="353">
        <v>0.99999997332340629</v>
      </c>
      <c r="ACE13" s="353">
        <v>0</v>
      </c>
      <c r="ACF13" s="353">
        <v>0</v>
      </c>
      <c r="ACG13" s="353">
        <v>0</v>
      </c>
      <c r="ACH13" s="353">
        <v>0</v>
      </c>
      <c r="ACI13" s="353">
        <v>0</v>
      </c>
      <c r="ACJ13" s="353">
        <v>0</v>
      </c>
      <c r="ACK13" s="353">
        <v>0</v>
      </c>
      <c r="ACL13" s="353">
        <v>0</v>
      </c>
      <c r="ACM13" s="353">
        <v>0.2260470687509884</v>
      </c>
      <c r="ACN13" s="353">
        <v>0.70660409132159185</v>
      </c>
      <c r="ACO13" s="353">
        <v>0</v>
      </c>
      <c r="ACP13" s="353">
        <v>0.99999997332340629</v>
      </c>
      <c r="ACQ13" s="353">
        <v>0.29339588200181438</v>
      </c>
      <c r="ACR13" s="353">
        <v>0</v>
      </c>
      <c r="ACS13" s="353">
        <v>0</v>
      </c>
      <c r="ACT13" s="353">
        <v>0.1368228173371111</v>
      </c>
      <c r="ACU13" s="353">
        <v>0</v>
      </c>
      <c r="ACV13" s="353">
        <v>0</v>
      </c>
      <c r="ACW13" s="353">
        <v>0</v>
      </c>
      <c r="ACX13" s="353">
        <v>0</v>
      </c>
      <c r="ACY13" s="353">
        <v>0</v>
      </c>
      <c r="ACZ13" s="353">
        <v>0.2260470687509884</v>
      </c>
      <c r="ADA13" s="353">
        <v>0.47067015231339071</v>
      </c>
      <c r="ADB13" s="353">
        <v>0.99999997332340629</v>
      </c>
      <c r="ADC13" s="353">
        <v>0</v>
      </c>
      <c r="ADD13" s="353">
        <v>0</v>
      </c>
      <c r="ADE13" s="353">
        <v>0</v>
      </c>
      <c r="ADF13" s="353">
        <v>0</v>
      </c>
      <c r="ADG13" s="353">
        <v>0</v>
      </c>
      <c r="ADH13" s="353">
        <v>0</v>
      </c>
      <c r="ADI13" s="353">
        <v>0</v>
      </c>
      <c r="ADJ13" s="353">
        <v>0</v>
      </c>
      <c r="ADK13" s="353">
        <v>0</v>
      </c>
      <c r="ADL13" s="353">
        <v>0</v>
      </c>
      <c r="ADM13" s="353">
        <v>0</v>
      </c>
      <c r="ADN13" s="353">
        <v>0.17727427031157619</v>
      </c>
      <c r="ADO13" s="353">
        <v>0</v>
      </c>
      <c r="ADP13" s="353">
        <v>0.29339588200181438</v>
      </c>
      <c r="ADQ13" s="353">
        <v>0</v>
      </c>
      <c r="ADR13" s="353">
        <v>0</v>
      </c>
      <c r="ADS13" s="353">
        <v>0</v>
      </c>
      <c r="ADT13" s="353">
        <v>0</v>
      </c>
      <c r="ADU13" s="353">
        <v>0</v>
      </c>
      <c r="ADV13" s="353">
        <v>0</v>
      </c>
      <c r="ADW13" s="353">
        <v>0.99999997332340629</v>
      </c>
      <c r="ADX13" s="353">
        <v>0</v>
      </c>
      <c r="ADY13" s="353">
        <v>0</v>
      </c>
      <c r="ADZ13" s="353">
        <v>0</v>
      </c>
      <c r="AEA13" s="353">
        <v>0</v>
      </c>
      <c r="AEB13" s="353">
        <v>0</v>
      </c>
      <c r="AEC13" s="353">
        <v>0</v>
      </c>
      <c r="AED13" s="353">
        <v>0</v>
      </c>
      <c r="AEE13" s="353">
        <v>0</v>
      </c>
      <c r="AEF13" s="353">
        <v>0</v>
      </c>
      <c r="AEG13" s="353">
        <v>0</v>
      </c>
      <c r="AEH13" s="353">
        <v>0</v>
      </c>
      <c r="AEI13" s="353">
        <v>0</v>
      </c>
      <c r="AEJ13" s="353">
        <v>0</v>
      </c>
      <c r="AEK13" s="353">
        <v>0.2260470687509884</v>
      </c>
      <c r="AEL13" s="353">
        <v>0.99999997332340629</v>
      </c>
      <c r="AEM13" s="353">
        <v>0.99999997332340629</v>
      </c>
      <c r="AEN13" s="353">
        <v>0</v>
      </c>
      <c r="AEO13" s="353">
        <v>0</v>
      </c>
      <c r="AEP13" s="353">
        <v>0</v>
      </c>
      <c r="AEQ13" s="353">
        <v>0</v>
      </c>
      <c r="AER13" s="353">
        <v>0</v>
      </c>
      <c r="AES13" s="353">
        <v>0.1368228173371111</v>
      </c>
      <c r="AET13" s="353">
        <v>0</v>
      </c>
      <c r="AEU13" s="353">
        <v>0.70660409132159185</v>
      </c>
      <c r="AEV13" s="353">
        <v>0</v>
      </c>
      <c r="AEW13" s="353">
        <v>0</v>
      </c>
      <c r="AEX13" s="353">
        <v>0.1368228173371111</v>
      </c>
      <c r="AEY13" s="353">
        <v>0</v>
      </c>
      <c r="AEZ13" s="353">
        <v>0</v>
      </c>
      <c r="AFA13" s="353">
        <v>0.1368228173371111</v>
      </c>
      <c r="AFB13" s="353">
        <v>0</v>
      </c>
      <c r="AFC13" s="353">
        <v>0</v>
      </c>
      <c r="AFD13" s="353">
        <v>0</v>
      </c>
      <c r="AFE13" s="353">
        <v>0</v>
      </c>
      <c r="AFF13" s="353">
        <v>0</v>
      </c>
      <c r="AFG13" s="353">
        <v>0</v>
      </c>
      <c r="AFH13" s="353">
        <v>0</v>
      </c>
      <c r="AFI13" s="353">
        <v>0.54014415639967572</v>
      </c>
      <c r="AFJ13" s="353">
        <v>0.99999997332340629</v>
      </c>
      <c r="AFK13" s="353">
        <v>0</v>
      </c>
      <c r="AFL13" s="353">
        <v>0</v>
      </c>
      <c r="AFM13" s="353">
        <v>0</v>
      </c>
      <c r="AFN13" s="353">
        <v>0</v>
      </c>
      <c r="AFO13" s="353">
        <v>0</v>
      </c>
      <c r="AFP13" s="353">
        <v>0</v>
      </c>
      <c r="AFQ13" s="353">
        <v>0</v>
      </c>
      <c r="AFR13" s="353">
        <v>0.70660409132159185</v>
      </c>
      <c r="AFS13" s="353">
        <v>0.56978127398448075</v>
      </c>
      <c r="AFT13" s="353">
        <v>0.2260470687509884</v>
      </c>
      <c r="AFU13" s="353">
        <v>0</v>
      </c>
      <c r="AFV13" s="353">
        <v>0.99999997332340629</v>
      </c>
      <c r="AFW13" s="353">
        <v>0.99999997332340629</v>
      </c>
      <c r="AFX13" s="353">
        <v>0</v>
      </c>
      <c r="AFY13" s="353">
        <v>0</v>
      </c>
      <c r="AFZ13" s="353">
        <v>0.30328275225902729</v>
      </c>
      <c r="AGA13" s="353">
        <v>0</v>
      </c>
      <c r="AGB13" s="353">
        <v>0</v>
      </c>
      <c r="AGC13" s="353">
        <v>0.16645993492191619</v>
      </c>
      <c r="AGD13" s="353">
        <v>0</v>
      </c>
      <c r="AGE13" s="353">
        <v>0</v>
      </c>
      <c r="AGF13" s="353">
        <v>0.2260470687509884</v>
      </c>
      <c r="AGG13" s="353">
        <v>0.99999997332340629</v>
      </c>
      <c r="AGH13" s="353">
        <v>0.86317715598629519</v>
      </c>
      <c r="AGI13" s="353">
        <v>0.99999997332340629</v>
      </c>
      <c r="AGJ13" s="353">
        <v>0</v>
      </c>
      <c r="AGK13" s="353">
        <v>0</v>
      </c>
      <c r="AGL13" s="353">
        <v>0</v>
      </c>
      <c r="AGM13" s="353">
        <v>0</v>
      </c>
      <c r="AGN13" s="353">
        <v>0</v>
      </c>
      <c r="AGO13" s="353">
        <v>0</v>
      </c>
      <c r="AGP13" s="353">
        <v>0</v>
      </c>
      <c r="AGQ13" s="353">
        <v>0.1368228173371111</v>
      </c>
      <c r="AGR13" s="353">
        <v>0</v>
      </c>
      <c r="AGS13" s="353">
        <v>0.99999997332340629</v>
      </c>
      <c r="AGT13" s="353">
        <v>0.99999997332340629</v>
      </c>
      <c r="AGU13" s="353">
        <v>0.99999997332340629</v>
      </c>
      <c r="AGV13" s="353">
        <v>0</v>
      </c>
      <c r="AGW13" s="353">
        <v>0</v>
      </c>
      <c r="AGX13" s="353">
        <v>0</v>
      </c>
      <c r="AGY13" s="353">
        <v>0</v>
      </c>
      <c r="AGZ13" s="353">
        <v>0</v>
      </c>
      <c r="AHA13" s="353">
        <v>0</v>
      </c>
      <c r="AHB13" s="353">
        <v>0</v>
      </c>
      <c r="AHC13" s="353">
        <v>0</v>
      </c>
      <c r="AHD13" s="353">
        <v>0</v>
      </c>
      <c r="AHE13" s="353">
        <v>0</v>
      </c>
      <c r="AHF13" s="353">
        <v>0.99999997332340629</v>
      </c>
      <c r="AHG13" s="353">
        <v>0.99999997332340629</v>
      </c>
      <c r="AHH13" s="353">
        <v>0</v>
      </c>
      <c r="AHI13" s="353">
        <v>0.99999997332340629</v>
      </c>
      <c r="AHJ13" s="353">
        <v>0</v>
      </c>
      <c r="AHK13" s="353">
        <v>0</v>
      </c>
      <c r="AHL13" s="353">
        <v>0</v>
      </c>
      <c r="AHM13" s="353">
        <v>0</v>
      </c>
      <c r="AHN13" s="353">
        <v>0.99999997332340629</v>
      </c>
      <c r="AHO13" s="353">
        <v>0</v>
      </c>
      <c r="AHP13" s="353">
        <v>0.99999997332340629</v>
      </c>
      <c r="AHQ13" s="353">
        <v>0</v>
      </c>
      <c r="AHR13" s="353">
        <v>0</v>
      </c>
      <c r="AHS13" s="353">
        <v>0</v>
      </c>
      <c r="AHT13" s="353">
        <v>0</v>
      </c>
      <c r="AHU13" s="353">
        <v>0</v>
      </c>
      <c r="AHV13" s="353">
        <v>0</v>
      </c>
      <c r="AHW13" s="353">
        <v>0</v>
      </c>
      <c r="AHX13" s="353">
        <v>0</v>
      </c>
      <c r="AHY13" s="353">
        <v>0</v>
      </c>
      <c r="AHZ13" s="353">
        <v>0</v>
      </c>
      <c r="AIA13" s="353">
        <v>0</v>
      </c>
      <c r="AIB13" s="353">
        <v>0</v>
      </c>
      <c r="AIC13" s="353">
        <v>0.99999997332340629</v>
      </c>
      <c r="AID13" s="353">
        <v>0</v>
      </c>
      <c r="AIE13" s="353">
        <v>0</v>
      </c>
      <c r="AIF13" s="353">
        <v>0</v>
      </c>
      <c r="AIG13" s="353">
        <v>0.1368228173371111</v>
      </c>
      <c r="AIH13" s="353">
        <v>0.48055702257060351</v>
      </c>
      <c r="AII13" s="353">
        <v>0</v>
      </c>
      <c r="AIJ13" s="353">
        <v>0</v>
      </c>
      <c r="AIK13" s="353">
        <v>0</v>
      </c>
      <c r="AIL13" s="353">
        <v>0.70660409132159185</v>
      </c>
      <c r="AIM13" s="353">
        <v>0</v>
      </c>
      <c r="AIN13" s="353">
        <v>0.52932982101001569</v>
      </c>
      <c r="AIO13" s="353">
        <v>0.31409708764868732</v>
      </c>
      <c r="AIP13" s="353">
        <v>0.99999997332340629</v>
      </c>
      <c r="AIQ13" s="353">
        <v>0</v>
      </c>
      <c r="AIR13" s="353">
        <v>0.99999997332340629</v>
      </c>
      <c r="AIS13" s="353">
        <v>0</v>
      </c>
      <c r="AIT13" s="353">
        <v>0</v>
      </c>
      <c r="AIU13" s="353">
        <v>0</v>
      </c>
      <c r="AIV13" s="353">
        <v>0</v>
      </c>
      <c r="AIW13" s="353">
        <v>0</v>
      </c>
      <c r="AIX13" s="353">
        <v>0</v>
      </c>
      <c r="AIY13" s="353">
        <v>0</v>
      </c>
      <c r="AIZ13" s="353">
        <v>0</v>
      </c>
      <c r="AJA13" s="353">
        <v>0.99999997332340629</v>
      </c>
      <c r="AJB13" s="353">
        <v>0</v>
      </c>
      <c r="AJC13" s="353">
        <v>0</v>
      </c>
      <c r="AJD13" s="353">
        <v>0.99999997332340629</v>
      </c>
      <c r="AJE13" s="353">
        <v>0</v>
      </c>
      <c r="AJF13" s="353">
        <v>0</v>
      </c>
      <c r="AJG13" s="353">
        <v>0</v>
      </c>
      <c r="AJH13" s="353">
        <v>0</v>
      </c>
      <c r="AJI13" s="353">
        <v>0</v>
      </c>
      <c r="AJJ13" s="353">
        <v>0</v>
      </c>
      <c r="AJK13" s="353">
        <v>0.1368228173371111</v>
      </c>
      <c r="AJL13" s="353">
        <v>0</v>
      </c>
      <c r="AJM13" s="353">
        <v>0</v>
      </c>
      <c r="AJN13" s="353">
        <v>0.99999997332340629</v>
      </c>
      <c r="AJO13" s="353">
        <v>0.99999997332340629</v>
      </c>
      <c r="AJP13" s="353">
        <v>0</v>
      </c>
      <c r="AJQ13" s="353">
        <v>0.30328275225902729</v>
      </c>
      <c r="AJR13" s="353">
        <v>0</v>
      </c>
      <c r="AJS13" s="353">
        <v>0</v>
      </c>
      <c r="AJT13" s="353">
        <v>0</v>
      </c>
      <c r="AJU13" s="353">
        <v>0</v>
      </c>
      <c r="AJV13" s="353">
        <v>0</v>
      </c>
      <c r="AJW13" s="353">
        <v>0</v>
      </c>
      <c r="AJX13" s="353">
        <v>0</v>
      </c>
      <c r="AJY13" s="353">
        <v>0.99999997332340629</v>
      </c>
      <c r="AJZ13" s="353">
        <v>0.99999997332340629</v>
      </c>
      <c r="AKA13" s="353">
        <v>0</v>
      </c>
      <c r="AKB13" s="353">
        <v>0</v>
      </c>
      <c r="AKC13" s="353">
        <v>0</v>
      </c>
      <c r="AKD13" s="353">
        <v>0</v>
      </c>
      <c r="AKE13" s="353">
        <v>0</v>
      </c>
      <c r="AKF13" s="353">
        <v>0</v>
      </c>
      <c r="AKG13" s="353">
        <v>0</v>
      </c>
      <c r="AKH13" s="353">
        <v>0</v>
      </c>
      <c r="AKI13" s="353">
        <v>0</v>
      </c>
      <c r="AKJ13" s="353">
        <v>0</v>
      </c>
      <c r="AKK13" s="353">
        <v>0.82272570301183012</v>
      </c>
      <c r="AKL13" s="353">
        <v>0</v>
      </c>
      <c r="AKM13" s="353">
        <v>0.65626576808991388</v>
      </c>
      <c r="AKN13" s="353">
        <v>0</v>
      </c>
      <c r="AKO13" s="353">
        <v>0</v>
      </c>
      <c r="AKP13" s="353">
        <v>0</v>
      </c>
      <c r="AKQ13" s="353">
        <v>0</v>
      </c>
      <c r="AKR13" s="353">
        <v>0</v>
      </c>
      <c r="AKS13" s="353">
        <v>0</v>
      </c>
      <c r="AKT13" s="353">
        <v>0</v>
      </c>
      <c r="AKU13" s="353">
        <v>0</v>
      </c>
      <c r="AKV13" s="353">
        <v>0</v>
      </c>
      <c r="AKW13" s="353">
        <v>0.83354003840149016</v>
      </c>
      <c r="AKX13" s="353">
        <v>0.86317715598629519</v>
      </c>
      <c r="AKY13" s="353">
        <v>0.29339588200181438</v>
      </c>
      <c r="AKZ13" s="353">
        <v>0</v>
      </c>
      <c r="ALA13" s="353">
        <v>0</v>
      </c>
      <c r="ALB13" s="353">
        <v>0</v>
      </c>
      <c r="ALC13" s="353">
        <v>0</v>
      </c>
      <c r="ALD13" s="353">
        <v>0</v>
      </c>
      <c r="ALE13" s="353">
        <v>0</v>
      </c>
      <c r="ALF13" s="353">
        <v>0</v>
      </c>
      <c r="ALG13" s="353">
        <v>0</v>
      </c>
      <c r="ALH13" s="353">
        <v>0</v>
      </c>
      <c r="ALI13" s="353">
        <v>0.99999997332340629</v>
      </c>
      <c r="ALJ13" s="353">
        <v>0.99999997332340629</v>
      </c>
      <c r="ALK13" s="353">
        <v>0</v>
      </c>
      <c r="ALL13" s="353">
        <v>0</v>
      </c>
      <c r="ALM13" s="353">
        <v>0</v>
      </c>
      <c r="ALN13" s="353">
        <v>0</v>
      </c>
      <c r="ALO13" s="353">
        <v>0</v>
      </c>
      <c r="ALP13" s="353">
        <v>0</v>
      </c>
      <c r="ALQ13" s="353">
        <v>0</v>
      </c>
      <c r="ALR13" s="353">
        <v>0</v>
      </c>
      <c r="ALS13" s="353">
        <v>0</v>
      </c>
      <c r="ALT13" s="353">
        <v>0.69671722106437906</v>
      </c>
      <c r="ALU13" s="353">
        <v>0.99999997332340629</v>
      </c>
      <c r="ALV13" s="353">
        <v>0.99999997332340629</v>
      </c>
      <c r="ALW13" s="353">
        <v>0.99999997332340629</v>
      </c>
      <c r="ALX13" s="353">
        <v>0</v>
      </c>
      <c r="ALY13" s="353">
        <v>0</v>
      </c>
      <c r="ALZ13" s="353">
        <v>0.17727427031157619</v>
      </c>
      <c r="AMA13" s="353">
        <v>0</v>
      </c>
      <c r="AMB13" s="353">
        <v>0</v>
      </c>
      <c r="AMC13" s="353">
        <v>0</v>
      </c>
      <c r="AMD13" s="353">
        <v>0.56978127398448075</v>
      </c>
      <c r="AME13" s="353">
        <v>0.99999997332340629</v>
      </c>
      <c r="AMF13" s="353">
        <v>0.56978127398448075</v>
      </c>
      <c r="AMG13" s="353">
        <v>0.3628698860880995</v>
      </c>
      <c r="AMH13" s="353">
        <v>0.99999997332340629</v>
      </c>
      <c r="AMI13" s="353">
        <v>0.99999997332340629</v>
      </c>
      <c r="AMJ13" s="353">
        <v>0.99999997332340629</v>
      </c>
      <c r="AMK13" s="353">
        <v>0</v>
      </c>
      <c r="AML13" s="353">
        <v>0</v>
      </c>
      <c r="AMM13" s="353">
        <v>0</v>
      </c>
      <c r="AMN13" s="353">
        <v>0</v>
      </c>
      <c r="AMO13" s="353">
        <v>0</v>
      </c>
      <c r="AMP13" s="353">
        <v>0</v>
      </c>
      <c r="AMQ13" s="353">
        <v>0.99999997332340629</v>
      </c>
      <c r="AMR13" s="353">
        <v>0.3628698860880995</v>
      </c>
      <c r="AMS13" s="353">
        <v>0.2260470687509884</v>
      </c>
      <c r="AMT13" s="353">
        <v>0.29339588200181438</v>
      </c>
    </row>
    <row r="15" spans="2:1034" ht="16.95" customHeight="1" x14ac:dyDescent="0.3"/>
    <row r="16" spans="2:1034" ht="18" x14ac:dyDescent="0.35">
      <c r="B16" s="355" t="s">
        <v>413</v>
      </c>
      <c r="D16" s="360">
        <v>2015</v>
      </c>
      <c r="E16" s="360">
        <v>2016</v>
      </c>
      <c r="F16" s="360">
        <v>2017</v>
      </c>
      <c r="G16" s="360">
        <v>2018</v>
      </c>
      <c r="H16" s="360">
        <v>2019</v>
      </c>
      <c r="I16" s="360">
        <v>2020</v>
      </c>
      <c r="J16" s="360">
        <v>2021</v>
      </c>
      <c r="K16" s="360">
        <v>2022</v>
      </c>
      <c r="L16" s="360">
        <v>2023</v>
      </c>
      <c r="M16" s="360">
        <v>2024</v>
      </c>
      <c r="N16" s="360">
        <v>2025</v>
      </c>
      <c r="O16" s="360">
        <v>2026</v>
      </c>
      <c r="P16" s="360">
        <v>2027</v>
      </c>
      <c r="Q16" s="360">
        <v>2028</v>
      </c>
      <c r="R16" s="360">
        <v>2029</v>
      </c>
      <c r="S16" s="360">
        <v>2030</v>
      </c>
      <c r="T16" s="360">
        <v>2031</v>
      </c>
      <c r="U16" s="360">
        <v>2032</v>
      </c>
      <c r="V16" s="360">
        <v>2033</v>
      </c>
      <c r="W16" s="360">
        <v>2034</v>
      </c>
      <c r="X16" s="360">
        <v>2035</v>
      </c>
      <c r="Y16" s="360">
        <v>2036</v>
      </c>
      <c r="Z16" s="360">
        <v>2037</v>
      </c>
      <c r="AA16" s="360">
        <v>2038</v>
      </c>
      <c r="AB16" s="360">
        <v>2039</v>
      </c>
      <c r="AC16" s="360">
        <v>2040</v>
      </c>
      <c r="AD16" s="360">
        <v>2041</v>
      </c>
      <c r="AE16" s="360">
        <v>2042</v>
      </c>
      <c r="AF16" s="360">
        <v>2043</v>
      </c>
      <c r="AG16" s="360">
        <v>2044</v>
      </c>
      <c r="AH16" s="360">
        <v>2045</v>
      </c>
      <c r="AI16" s="360">
        <v>2046</v>
      </c>
      <c r="AJ16" s="360">
        <v>2047</v>
      </c>
      <c r="AK16" s="360">
        <v>2048</v>
      </c>
      <c r="AL16" s="360">
        <v>2049</v>
      </c>
      <c r="AM16" s="360">
        <v>2050</v>
      </c>
    </row>
    <row r="17" spans="1:39" x14ac:dyDescent="0.3">
      <c r="A17" s="364">
        <v>1</v>
      </c>
      <c r="B17" s="1" t="s">
        <v>380</v>
      </c>
    </row>
    <row r="18" spans="1:39" x14ac:dyDescent="0.3">
      <c r="B18" s="356" t="s">
        <v>377</v>
      </c>
      <c r="D18">
        <f>SUMIF(C3:N3, "&gt;0.999999961005451")</f>
        <v>1.9999999466468126</v>
      </c>
      <c r="E18">
        <f>SUMIF(O3:Z3, "&gt;0.999999961005451")</f>
        <v>0</v>
      </c>
      <c r="F18">
        <f>SUMIF(AA3:AL3, "&gt;0.999999961005451")</f>
        <v>0</v>
      </c>
      <c r="G18">
        <f>SUMIF(AM3:AX3, "&gt;0.999999961005451")</f>
        <v>0.99999997332340629</v>
      </c>
      <c r="H18">
        <f>SUMIF(AX3:BI3, "&gt;0.999999961005451")</f>
        <v>0.99999997332340629</v>
      </c>
      <c r="I18">
        <f>SUMIF(BK3:BV3, "&gt;0.999999961005451")</f>
        <v>0</v>
      </c>
      <c r="J18">
        <f>SUMIF(BW3:CH3, "&gt;0.999999961005451")</f>
        <v>0</v>
      </c>
      <c r="K18">
        <f>SUMIF(CI3:CT3, "&gt;0.999999961005451")</f>
        <v>0</v>
      </c>
      <c r="L18">
        <f>SUMIF(CU3:DF3, "&gt;0.999999961005451")</f>
        <v>0</v>
      </c>
      <c r="M18">
        <f>SUMIF(DG3:DR3, "&gt;0.999999961005451")</f>
        <v>0.99999997332340629</v>
      </c>
      <c r="N18">
        <f>SUMIF(DS3:ED3, "&gt;0.999999961005451")</f>
        <v>1.9999999466468126</v>
      </c>
      <c r="O18">
        <f>SUMIF(EE3:EP3, "&gt;0.999999961005451")</f>
        <v>0.99999997332340629</v>
      </c>
      <c r="P18">
        <f>SUMIF(EQ3:FB3, "&gt;0.999999961005451")</f>
        <v>0.99999997332340629</v>
      </c>
      <c r="Q18">
        <f>SUMIF(FC3:FN3, "&gt;0.999999961005451")</f>
        <v>0.99999997332340629</v>
      </c>
      <c r="R18">
        <f>SUMIF(FO3:FZ3, "&gt;0.999999961005451")</f>
        <v>0.99999997332340629</v>
      </c>
      <c r="S18">
        <f>SUMIF(GA3:GL3, "&gt;0.999999961005451")</f>
        <v>0</v>
      </c>
      <c r="T18">
        <f>SUMIF(GM3:GX3, "&gt;0.999999961005451")</f>
        <v>0.99999997332340629</v>
      </c>
      <c r="U18">
        <f>SUMIF(GY3:HJ3, "&gt;0.999999961005451")</f>
        <v>0.99999997332340629</v>
      </c>
      <c r="V18">
        <f>SUMIF(HK3:HV3, "&gt;0.999999961005451")</f>
        <v>0</v>
      </c>
      <c r="W18">
        <f>SUMIF(HW3:IH3, "&gt;0.999999961005451")</f>
        <v>0.99999997332340629</v>
      </c>
      <c r="X18">
        <f>SUMIF(II3:IT3, "&gt;0.999999961005451")</f>
        <v>1.9999999466468126</v>
      </c>
      <c r="Y18">
        <f>SUMIF(IU3:JF3, "&gt;0.999999961005451")</f>
        <v>0</v>
      </c>
      <c r="Z18">
        <f>SUMIF(JG3:JR3, "&gt;0.999999961005451")</f>
        <v>0.99999997332340629</v>
      </c>
      <c r="AA18">
        <f>SUMIF(JT3:KD3, "&gt;0.999999961005451")</f>
        <v>0</v>
      </c>
      <c r="AB18">
        <f>SUMIF(KE3:KP3, "&gt;0.999999961005451")</f>
        <v>0.99999997332340629</v>
      </c>
      <c r="AC18">
        <f>SUMIF(KQ3:LB3, "&gt;0.999999961005451")</f>
        <v>0</v>
      </c>
      <c r="AD18">
        <f>SUMIF(LC3:LN3, "&gt;0.999999961005451")</f>
        <v>0.99999997332340629</v>
      </c>
      <c r="AE18">
        <f>SUMIF(LO3:LZ3, "&gt;0.999999961005451")</f>
        <v>0.99999997332340629</v>
      </c>
      <c r="AF18">
        <f>SUMIF(MA3:ML3, "&gt;0.999999961005451")</f>
        <v>0.99999997332340629</v>
      </c>
      <c r="AG18">
        <f>SUMIF(MM3:MX3, "&gt;0.999999961005451")</f>
        <v>0</v>
      </c>
      <c r="AH18">
        <f>SUMIF(MY3:NJ3, "&gt;0.999999961005451")</f>
        <v>0</v>
      </c>
      <c r="AI18">
        <f>SUMIF(NK3:NV3, "&gt;0.999999961005451")</f>
        <v>0</v>
      </c>
      <c r="AJ18">
        <f>SUMIF(NW3:OH3, "&gt;0.999999961005451")</f>
        <v>0.99999997332340629</v>
      </c>
      <c r="AK18">
        <f>SUMIF(OI3:OT3, "&gt;0.999999961005451")</f>
        <v>0</v>
      </c>
      <c r="AL18">
        <f>SUMIF(OU3:PF3, "&gt;0.999999961005451")</f>
        <v>0</v>
      </c>
      <c r="AM18">
        <f>SUMIF(PG3:PR3, "&gt;0.999999961005451")</f>
        <v>0</v>
      </c>
    </row>
    <row r="20" spans="1:39" x14ac:dyDescent="0.3">
      <c r="A20" s="364">
        <v>2</v>
      </c>
      <c r="B20" s="1" t="s">
        <v>381</v>
      </c>
    </row>
    <row r="21" spans="1:39" x14ac:dyDescent="0.3">
      <c r="B21" s="356" t="s">
        <v>377</v>
      </c>
      <c r="D21">
        <f>SUMIF(C8:N8, "&gt;0.999999961005451")</f>
        <v>1.9999999466468126</v>
      </c>
      <c r="E21">
        <f>SUMIF(O8:Z8, "&gt;0.999999961005451")</f>
        <v>0.99999997332340629</v>
      </c>
      <c r="F21">
        <f>SUMIF(AA8:AL8, "&gt;0.999999961005451")</f>
        <v>0.99999997332340629</v>
      </c>
      <c r="G21">
        <f>SUMIF(AM8:AX8, "&gt;0.999999961005451")</f>
        <v>0</v>
      </c>
      <c r="H21">
        <f>SUMIF(AX8:BI8, "&gt;0.999999961005451")</f>
        <v>2.999999919970219</v>
      </c>
      <c r="I21">
        <f>SUMIF(BK8:BV8, "&gt;0.999999961005451")</f>
        <v>0.99999997332340629</v>
      </c>
      <c r="J21">
        <f>SUMIF(BW8:CH8, "&gt;0.999999961005451")</f>
        <v>0.99999997332340629</v>
      </c>
      <c r="K21">
        <f>SUMIF(CI8:CT8, "&gt;0.999999961005451")</f>
        <v>1.9999999466468126</v>
      </c>
      <c r="L21">
        <f>SUMIF(CU8:DF8, "&gt;0.999999961005451")</f>
        <v>0</v>
      </c>
      <c r="M21">
        <f>SUMIF(DG8:DR8, "&gt;0.999999961005451")</f>
        <v>1.9999999466468126</v>
      </c>
      <c r="N21">
        <f>SUMIF(DS8:ED8, "&gt;0.999999961005451")</f>
        <v>0</v>
      </c>
      <c r="O21">
        <f>SUMIF(EE8:EP8, "&gt;0.999999961005451")</f>
        <v>0</v>
      </c>
      <c r="P21">
        <f>SUMIF(EQ8:FB8, "&gt;0.999999961005451")</f>
        <v>0.99999997332340629</v>
      </c>
      <c r="Q21">
        <f>SUMIF(FC8:FN8, "&gt;0.999999961005451")</f>
        <v>0</v>
      </c>
      <c r="R21">
        <f>SUMIF(FO8:FZ8, "&gt;0.999999961005451")</f>
        <v>0</v>
      </c>
      <c r="S21">
        <f>SUMIF(GA8:GL8, "&gt;0.999999961005451")</f>
        <v>0</v>
      </c>
      <c r="T21">
        <f>SUMIF(GM8:GX8, "&gt;0.999999961005451")</f>
        <v>0.99999997332340629</v>
      </c>
      <c r="U21">
        <f>SUMIF(GY8:HJ8, "&gt;0.999999961005451")</f>
        <v>1.9999999466468126</v>
      </c>
      <c r="V21">
        <f>SUMIF(HK8:HV8, "&gt;0.999999961005451")</f>
        <v>0</v>
      </c>
      <c r="W21">
        <f>SUMIF(HW8:IH8, "&gt;0.999999961005451")</f>
        <v>0</v>
      </c>
      <c r="X21">
        <f>SUMIF(II8:IT8, "&gt;0.999999961005451")</f>
        <v>0.99999997332340629</v>
      </c>
      <c r="Y21">
        <f>SUMIF(IU8:JF8, "&gt;0.999999961005451")</f>
        <v>0.99999997332340629</v>
      </c>
      <c r="Z21">
        <f>SUMIF(JG8:JR8, "&gt;0.999999961005451")</f>
        <v>0.99999997332340629</v>
      </c>
      <c r="AA21">
        <f>SUMIF(JT8:KD8, "&gt;0.999999961005451")</f>
        <v>0.99999997332340629</v>
      </c>
      <c r="AB21">
        <f>SUMIF(KE8:KP8, "&gt;0.999999961005451")</f>
        <v>0.99999997332340629</v>
      </c>
      <c r="AC21">
        <f>SUMIF(KQ8:LB8, "&gt;0.999999961005451")</f>
        <v>1.9999999466468126</v>
      </c>
      <c r="AD21">
        <f>SUMIF(LC8:LN8, "&gt;0.999999961005451")</f>
        <v>1.9999999466468126</v>
      </c>
      <c r="AE21">
        <f>SUMIF(LO8:LZ8, "&gt;0.999999961005451")</f>
        <v>1.9999999466468126</v>
      </c>
      <c r="AF21">
        <f>SUMIF(MA8:ML8, "&gt;0.999999961005451")</f>
        <v>0.99999997332340629</v>
      </c>
      <c r="AG21">
        <f>SUMIF(MM8:MX8, "&gt;0.999999961005451")</f>
        <v>0</v>
      </c>
      <c r="AH21">
        <f>SUMIF(MY8:NJ8, "&gt;0.999999961005451")</f>
        <v>0</v>
      </c>
      <c r="AI21">
        <f>SUMIF(NK8:NV8, "&gt;0.999999961005451")</f>
        <v>0.99999997332340629</v>
      </c>
      <c r="AJ21">
        <f>SUMIF(NW8:OH8, "&gt;0.999999961005451")</f>
        <v>0.99999997332340629</v>
      </c>
      <c r="AK21">
        <f>SUMIF(OI8:OT8, "&gt;0.999999961005451")</f>
        <v>0.99999997332340629</v>
      </c>
      <c r="AL21">
        <f>SUMIF(OU8:PF8, "&gt;0.999999961005451")</f>
        <v>0</v>
      </c>
      <c r="AM21">
        <f>SUMIF(PG8:PR8, "&gt;0.999999961005451")</f>
        <v>0</v>
      </c>
    </row>
    <row r="23" spans="1:39" x14ac:dyDescent="0.3">
      <c r="A23" s="364">
        <v>3</v>
      </c>
      <c r="B23" s="1" t="s">
        <v>385</v>
      </c>
    </row>
    <row r="24" spans="1:39" x14ac:dyDescent="0.3">
      <c r="B24" s="356" t="s">
        <v>377</v>
      </c>
      <c r="D24">
        <f>SUMIF(C13:N13, "&gt;0.999999961005451")</f>
        <v>0.99999997332340629</v>
      </c>
      <c r="E24">
        <f>SUMIF(O13:Z13, "&gt;0.999999961005451")</f>
        <v>0</v>
      </c>
      <c r="F24">
        <f>SUMIF(AA13:AL13, "&gt;0.999999961005451")</f>
        <v>0</v>
      </c>
      <c r="G24">
        <f>SUMIF(AM13:AX13, "&gt;0.999999961005451")</f>
        <v>0</v>
      </c>
      <c r="H24">
        <f>SUMIF(AX13:BI13, "&gt;0.999999961005451")</f>
        <v>0</v>
      </c>
      <c r="I24">
        <f>SUMIF(BK13:BV13, "&gt;0.999999961005451")</f>
        <v>0</v>
      </c>
      <c r="J24">
        <f>SUMIF(BW13:CH13, "&gt;0.999999961005451")</f>
        <v>0</v>
      </c>
      <c r="K24">
        <f>SUMIF(CI13:CT13, "&gt;0.999999961005451")</f>
        <v>1.9999999466468126</v>
      </c>
      <c r="L24">
        <f>SUMIF(CU13:DF13, "&gt;0.999999961005451")</f>
        <v>0</v>
      </c>
      <c r="M24">
        <f>SUMIF(DG13:DR13, "&gt;0.999999961005451")</f>
        <v>0</v>
      </c>
      <c r="N24">
        <f>SUMIF(DS13:ED13, "&gt;0.999999961005451")</f>
        <v>1.9999999466468126</v>
      </c>
      <c r="O24">
        <f>SUMIF(EE13:EP13, "&gt;0.999999961005451")</f>
        <v>0</v>
      </c>
      <c r="P24">
        <f>SUMIF(EQ13:FB13, "&gt;0.999999961005451")</f>
        <v>0</v>
      </c>
      <c r="Q24">
        <f>SUMIF(FC13:FN13, "&gt;0.999999961005451")</f>
        <v>1.9999999466468126</v>
      </c>
      <c r="R24">
        <f>SUMIF(FO13:FZ13, "&gt;0.999999961005451")</f>
        <v>0.99999997332340629</v>
      </c>
      <c r="S24">
        <f>SUMIF(GA13:GL13, "&gt;0.999999961005451")</f>
        <v>0.99999997332340629</v>
      </c>
      <c r="T24">
        <f>SUMIF(GM13:GX13, "&gt;0.999999961005451")</f>
        <v>0</v>
      </c>
      <c r="U24">
        <f>SUMIF(GY13:HJ13, "&gt;0.999999961005451")</f>
        <v>1.9999999466468126</v>
      </c>
      <c r="V24">
        <f>SUMIF(HK13:HV13, "&gt;0.999999961005451")</f>
        <v>0.99999997332340629</v>
      </c>
      <c r="W24">
        <f>SUMIF(HW13:IH13, "&gt;0.999999961005451")</f>
        <v>0</v>
      </c>
      <c r="X24">
        <f>SUMIF(II13:IT13, "&gt;0.999999961005451")</f>
        <v>0</v>
      </c>
      <c r="Y24">
        <f>SUMIF(IU13:JF13, "&gt;0.999999961005451")</f>
        <v>0.99999997332340629</v>
      </c>
      <c r="Z24">
        <f>SUMIF(JG13:JR13, "&gt;0.999999961005451")</f>
        <v>0.99999997332340629</v>
      </c>
      <c r="AA24">
        <f>SUMIF(JT13:KD13, "&gt;0.999999961005451")</f>
        <v>0</v>
      </c>
      <c r="AB24">
        <f>SUMIF(KE13:KP13, "&gt;0.999999961005451")</f>
        <v>1.9999999466468126</v>
      </c>
      <c r="AC24">
        <f>SUMIF(KQ13:LB13, "&gt;0.999999961005451")</f>
        <v>0</v>
      </c>
      <c r="AD24">
        <f>SUMIF(LC13:LN13, "&gt;0.999999961005451")</f>
        <v>0</v>
      </c>
      <c r="AE24">
        <f>SUMIF(LO13:LZ13, "&gt;0.999999961005451")</f>
        <v>0</v>
      </c>
      <c r="AF24">
        <f>SUMIF(MA13:ML13, "&gt;0.999999961005451")</f>
        <v>0</v>
      </c>
      <c r="AG24">
        <f>SUMIF(MM13:MX13, "&gt;0.999999961005451")</f>
        <v>0</v>
      </c>
      <c r="AH24">
        <f>SUMIF(MY13:NJ13, "&gt;0.999999961005451")</f>
        <v>0.99999997332340629</v>
      </c>
      <c r="AI24">
        <f>SUMIF(NK13:NV13, "&gt;0.999999961005451")</f>
        <v>2.999999919970219</v>
      </c>
      <c r="AJ24">
        <f>SUMIF(NW13:OH13, "&gt;0.999999961005451")</f>
        <v>1.9999999466468126</v>
      </c>
      <c r="AK24">
        <f>SUMIF(OI13:OT13, "&gt;0.999999961005451")</f>
        <v>0</v>
      </c>
      <c r="AL24">
        <f>SUMIF(OU13:PF13, "&gt;0.999999961005451")</f>
        <v>1.9999999466468126</v>
      </c>
      <c r="AM24">
        <f>SUMIF(PG13:PR13, "&gt;0.999999961005451")</f>
        <v>1.9999999466468126</v>
      </c>
    </row>
    <row r="27" spans="1:39" s="1" customFormat="1" x14ac:dyDescent="0.3">
      <c r="A27" s="364"/>
      <c r="B27" s="1" t="s">
        <v>412</v>
      </c>
      <c r="D27" s="1">
        <f>IF($C$28=1,D18,IF($C$28=2,D21,D24))</f>
        <v>1.9999999466468126</v>
      </c>
      <c r="E27" s="1">
        <f t="shared" ref="E27:AM27" si="0">IF($C$28=1,E18,IF($C$28=2,E21,E24))</f>
        <v>0</v>
      </c>
      <c r="F27" s="1">
        <f t="shared" si="0"/>
        <v>0</v>
      </c>
      <c r="G27" s="1">
        <f t="shared" si="0"/>
        <v>0.99999997332340629</v>
      </c>
      <c r="H27" s="1">
        <f t="shared" si="0"/>
        <v>0.99999997332340629</v>
      </c>
      <c r="I27" s="1">
        <f t="shared" si="0"/>
        <v>0</v>
      </c>
      <c r="J27" s="1">
        <f t="shared" si="0"/>
        <v>0</v>
      </c>
      <c r="K27" s="1">
        <f t="shared" si="0"/>
        <v>0</v>
      </c>
      <c r="L27" s="1">
        <f t="shared" si="0"/>
        <v>0</v>
      </c>
      <c r="M27" s="1">
        <f t="shared" si="0"/>
        <v>0.99999997332340629</v>
      </c>
      <c r="N27" s="1">
        <f t="shared" si="0"/>
        <v>1.9999999466468126</v>
      </c>
      <c r="O27" s="1">
        <f t="shared" si="0"/>
        <v>0.99999997332340629</v>
      </c>
      <c r="P27" s="1">
        <f t="shared" si="0"/>
        <v>0.99999997332340629</v>
      </c>
      <c r="Q27" s="1">
        <f t="shared" si="0"/>
        <v>0.99999997332340629</v>
      </c>
      <c r="R27" s="1">
        <f t="shared" si="0"/>
        <v>0.99999997332340629</v>
      </c>
      <c r="S27" s="1">
        <f t="shared" si="0"/>
        <v>0</v>
      </c>
      <c r="T27" s="1">
        <f t="shared" si="0"/>
        <v>0.99999997332340629</v>
      </c>
      <c r="U27" s="1">
        <f t="shared" si="0"/>
        <v>0.99999997332340629</v>
      </c>
      <c r="V27" s="1">
        <f t="shared" si="0"/>
        <v>0</v>
      </c>
      <c r="W27" s="1">
        <f t="shared" si="0"/>
        <v>0.99999997332340629</v>
      </c>
      <c r="X27" s="1">
        <f t="shared" si="0"/>
        <v>1.9999999466468126</v>
      </c>
      <c r="Y27" s="1">
        <f t="shared" si="0"/>
        <v>0</v>
      </c>
      <c r="Z27" s="1">
        <f t="shared" si="0"/>
        <v>0.99999997332340629</v>
      </c>
      <c r="AA27" s="1">
        <f t="shared" si="0"/>
        <v>0</v>
      </c>
      <c r="AB27" s="1">
        <f t="shared" si="0"/>
        <v>0.99999997332340629</v>
      </c>
      <c r="AC27" s="1">
        <f t="shared" si="0"/>
        <v>0</v>
      </c>
      <c r="AD27" s="1">
        <f t="shared" si="0"/>
        <v>0.99999997332340629</v>
      </c>
      <c r="AE27" s="1">
        <f t="shared" si="0"/>
        <v>0.99999997332340629</v>
      </c>
      <c r="AF27" s="1">
        <f t="shared" si="0"/>
        <v>0.99999997332340629</v>
      </c>
      <c r="AG27" s="1">
        <f t="shared" si="0"/>
        <v>0</v>
      </c>
      <c r="AH27" s="1">
        <f t="shared" si="0"/>
        <v>0</v>
      </c>
      <c r="AI27" s="1">
        <f t="shared" si="0"/>
        <v>0</v>
      </c>
      <c r="AJ27" s="1">
        <f t="shared" si="0"/>
        <v>0.99999997332340629</v>
      </c>
      <c r="AK27" s="1">
        <f t="shared" si="0"/>
        <v>0</v>
      </c>
      <c r="AL27" s="1">
        <f t="shared" si="0"/>
        <v>0</v>
      </c>
      <c r="AM27" s="1">
        <f t="shared" si="0"/>
        <v>0</v>
      </c>
    </row>
    <row r="28" spans="1:39" x14ac:dyDescent="0.3">
      <c r="B28" t="s">
        <v>414</v>
      </c>
      <c r="C28" s="361">
        <v>1</v>
      </c>
    </row>
    <row r="29" spans="1:39" s="4" customFormat="1" x14ac:dyDescent="0.3">
      <c r="A29" s="365"/>
      <c r="C29" s="15"/>
    </row>
    <row r="30" spans="1:39" s="4" customFormat="1" x14ac:dyDescent="0.3">
      <c r="A30" s="365"/>
      <c r="C30" s="15"/>
    </row>
    <row r="31" spans="1:39" s="4" customFormat="1" x14ac:dyDescent="0.3">
      <c r="A31" s="365"/>
      <c r="C31" s="15"/>
    </row>
  </sheetData>
  <phoneticPr fontId="4"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24D0E-BF81-4AD9-8354-6159852FFD8D}">
  <sheetPr>
    <tabColor rgb="FFFFFF00"/>
  </sheetPr>
  <dimension ref="A1:AU94"/>
  <sheetViews>
    <sheetView defaultGridColor="0" colorId="22" zoomScale="72" zoomScaleNormal="72" workbookViewId="0">
      <pane xSplit="9" ySplit="3" topLeftCell="AJ10" activePane="bottomRight" state="frozen"/>
      <selection pane="topRight" activeCell="F40" sqref="F40"/>
      <selection pane="bottomLeft" activeCell="F40" sqref="F40"/>
      <selection pane="bottomRight" activeCell="AM25" sqref="AM25"/>
    </sheetView>
  </sheetViews>
  <sheetFormatPr defaultColWidth="3.33203125" defaultRowHeight="14.4" x14ac:dyDescent="0.3"/>
  <cols>
    <col min="1" max="1" width="1.5546875" customWidth="1"/>
    <col min="2" max="2" width="1.5546875" style="15" customWidth="1"/>
    <col min="3" max="3" width="1.5546875" style="172" customWidth="1"/>
    <col min="4" max="4" width="50.5546875" customWidth="1"/>
    <col min="5" max="5" width="4.5546875" style="16" customWidth="1"/>
    <col min="6" max="6" width="25.44140625" style="4" customWidth="1"/>
    <col min="7" max="7" width="15.88671875" style="4" customWidth="1"/>
    <col min="8" max="8" width="24.5546875" style="4" customWidth="1"/>
    <col min="9" max="9" width="2.5546875" style="4" customWidth="1"/>
    <col min="10" max="10" width="26.44140625" customWidth="1"/>
    <col min="11" max="19" width="4.6640625" customWidth="1"/>
    <col min="20" max="46" width="20.5546875" customWidth="1"/>
  </cols>
  <sheetData>
    <row r="1" spans="1:46" ht="24.6" x14ac:dyDescent="0.3">
      <c r="A1" s="32" t="str">
        <f ca="1" xml:space="preserve"> RIGHT(CELL("filename", A1), LEN(CELL("filename", A1)) - SEARCH("]", CELL("filename", A1)))</f>
        <v>Analysis</v>
      </c>
      <c r="F1" s="286" t="str">
        <f xml:space="preserve"> "Active case: " &amp; 'Key inputs &amp; outputs'!$F$8</f>
        <v>Active case: Base case</v>
      </c>
    </row>
    <row r="2" spans="1:46" s="34" customFormat="1" x14ac:dyDescent="0.3">
      <c r="B2" s="33"/>
      <c r="C2" s="197"/>
      <c r="D2" s="33" t="s">
        <v>293</v>
      </c>
      <c r="E2" s="303"/>
      <c r="F2" s="33"/>
      <c r="G2" s="33"/>
      <c r="H2" s="33"/>
      <c r="I2" s="33"/>
      <c r="J2" s="33">
        <v>42004</v>
      </c>
      <c r="K2" s="33">
        <f xml:space="preserve"> EOMONTH(J2, 12)</f>
        <v>42369</v>
      </c>
      <c r="L2" s="33">
        <f t="shared" ref="L2:AN2" si="0" xml:space="preserve"> EOMONTH(K2, 12)</f>
        <v>42735</v>
      </c>
      <c r="M2" s="33">
        <f t="shared" si="0"/>
        <v>43100</v>
      </c>
      <c r="N2" s="33">
        <f t="shared" si="0"/>
        <v>43465</v>
      </c>
      <c r="O2" s="33">
        <f t="shared" si="0"/>
        <v>43830</v>
      </c>
      <c r="P2" s="33">
        <f t="shared" si="0"/>
        <v>44196</v>
      </c>
      <c r="Q2" s="33">
        <f t="shared" si="0"/>
        <v>44561</v>
      </c>
      <c r="R2" s="33">
        <f t="shared" si="0"/>
        <v>44926</v>
      </c>
      <c r="S2" s="33">
        <f t="shared" si="0"/>
        <v>45291</v>
      </c>
      <c r="T2" s="33">
        <f t="shared" si="0"/>
        <v>45657</v>
      </c>
      <c r="U2" s="33">
        <f t="shared" si="0"/>
        <v>46022</v>
      </c>
      <c r="V2" s="33">
        <f t="shared" si="0"/>
        <v>46387</v>
      </c>
      <c r="W2" s="33">
        <f t="shared" si="0"/>
        <v>46752</v>
      </c>
      <c r="X2" s="33">
        <f t="shared" si="0"/>
        <v>47118</v>
      </c>
      <c r="Y2" s="33">
        <f t="shared" si="0"/>
        <v>47483</v>
      </c>
      <c r="Z2" s="33">
        <f t="shared" si="0"/>
        <v>47848</v>
      </c>
      <c r="AA2" s="33">
        <f t="shared" si="0"/>
        <v>48213</v>
      </c>
      <c r="AB2" s="33">
        <f t="shared" si="0"/>
        <v>48579</v>
      </c>
      <c r="AC2" s="33">
        <f t="shared" si="0"/>
        <v>48944</v>
      </c>
      <c r="AD2" s="33">
        <f t="shared" si="0"/>
        <v>49309</v>
      </c>
      <c r="AE2" s="33">
        <f t="shared" si="0"/>
        <v>49674</v>
      </c>
      <c r="AF2" s="33">
        <f t="shared" si="0"/>
        <v>50040</v>
      </c>
      <c r="AG2" s="33">
        <f t="shared" si="0"/>
        <v>50405</v>
      </c>
      <c r="AH2" s="33">
        <f t="shared" si="0"/>
        <v>50770</v>
      </c>
      <c r="AI2" s="33">
        <f t="shared" si="0"/>
        <v>51135</v>
      </c>
      <c r="AJ2" s="33">
        <f t="shared" si="0"/>
        <v>51501</v>
      </c>
      <c r="AK2" s="33">
        <f t="shared" si="0"/>
        <v>51866</v>
      </c>
      <c r="AL2" s="33">
        <f t="shared" si="0"/>
        <v>52231</v>
      </c>
      <c r="AM2" s="33">
        <f t="shared" si="0"/>
        <v>52596</v>
      </c>
      <c r="AN2" s="33">
        <f t="shared" si="0"/>
        <v>52962</v>
      </c>
      <c r="AO2" s="33">
        <f t="shared" ref="AO2" si="1" xml:space="preserve"> EOMONTH(AN2, 12)</f>
        <v>53327</v>
      </c>
      <c r="AP2" s="33">
        <f t="shared" ref="AP2" si="2" xml:space="preserve"> EOMONTH(AO2, 12)</f>
        <v>53692</v>
      </c>
      <c r="AQ2" s="33">
        <f t="shared" ref="AQ2" si="3" xml:space="preserve"> EOMONTH(AP2, 12)</f>
        <v>54057</v>
      </c>
      <c r="AR2" s="33">
        <f t="shared" ref="AR2" si="4" xml:space="preserve"> EOMONTH(AQ2, 12)</f>
        <v>54423</v>
      </c>
      <c r="AS2" s="33">
        <f t="shared" ref="AS2" si="5" xml:space="preserve"> EOMONTH(AR2, 12)</f>
        <v>54788</v>
      </c>
      <c r="AT2" s="33">
        <f t="shared" ref="AT2" si="6" xml:space="preserve"> EOMONTH(AS2, 12)</f>
        <v>55153</v>
      </c>
    </row>
    <row r="3" spans="1:46" s="34" customFormat="1" x14ac:dyDescent="0.3">
      <c r="B3" s="33"/>
      <c r="C3" s="197"/>
      <c r="D3" s="15" t="s">
        <v>294</v>
      </c>
      <c r="E3" s="28" t="s">
        <v>28</v>
      </c>
      <c r="F3" s="319" t="s">
        <v>295</v>
      </c>
      <c r="G3" s="15" t="s">
        <v>30</v>
      </c>
      <c r="H3" s="319" t="s">
        <v>272</v>
      </c>
      <c r="I3" s="33"/>
      <c r="J3" s="10">
        <v>1</v>
      </c>
      <c r="K3" s="10">
        <v>2</v>
      </c>
      <c r="L3" s="10">
        <v>3</v>
      </c>
      <c r="M3" s="10">
        <v>4</v>
      </c>
      <c r="N3" s="10">
        <v>5</v>
      </c>
      <c r="O3" s="10">
        <v>6</v>
      </c>
      <c r="P3" s="10">
        <v>7</v>
      </c>
      <c r="Q3" s="10">
        <v>8</v>
      </c>
      <c r="R3" s="10">
        <v>9</v>
      </c>
      <c r="S3" s="10">
        <v>10</v>
      </c>
      <c r="T3" s="10">
        <v>11</v>
      </c>
      <c r="U3" s="10">
        <v>12</v>
      </c>
      <c r="V3" s="10">
        <v>13</v>
      </c>
      <c r="W3" s="10">
        <v>14</v>
      </c>
      <c r="X3" s="10">
        <v>15</v>
      </c>
      <c r="Y3" s="10">
        <v>16</v>
      </c>
      <c r="Z3" s="10">
        <v>17</v>
      </c>
      <c r="AA3" s="10">
        <v>18</v>
      </c>
      <c r="AB3" s="10">
        <v>19</v>
      </c>
      <c r="AC3" s="10">
        <v>20</v>
      </c>
      <c r="AD3" s="10">
        <v>21</v>
      </c>
      <c r="AE3" s="10">
        <v>22</v>
      </c>
      <c r="AF3" s="10">
        <v>23</v>
      </c>
      <c r="AG3" s="10">
        <v>24</v>
      </c>
      <c r="AH3" s="10">
        <v>25</v>
      </c>
      <c r="AI3" s="10">
        <v>26</v>
      </c>
      <c r="AJ3" s="10">
        <v>27</v>
      </c>
      <c r="AK3" s="10">
        <v>28</v>
      </c>
      <c r="AL3" s="10">
        <v>29</v>
      </c>
      <c r="AM3" s="10">
        <v>30</v>
      </c>
      <c r="AN3" s="10">
        <v>31</v>
      </c>
      <c r="AO3" s="10">
        <v>32</v>
      </c>
      <c r="AP3" s="10">
        <v>33</v>
      </c>
      <c r="AQ3" s="10">
        <v>34</v>
      </c>
      <c r="AR3" s="10">
        <v>35</v>
      </c>
      <c r="AS3" s="10">
        <v>36</v>
      </c>
      <c r="AT3" s="10">
        <v>37</v>
      </c>
    </row>
    <row r="4" spans="1:46" s="36" customFormat="1" x14ac:dyDescent="0.3">
      <c r="B4" s="35"/>
      <c r="C4" s="198"/>
      <c r="E4" s="16"/>
      <c r="F4" s="37"/>
      <c r="G4" s="37"/>
      <c r="H4" s="37"/>
      <c r="I4" s="37"/>
    </row>
    <row r="5" spans="1:46" s="36" customFormat="1" x14ac:dyDescent="0.3">
      <c r="B5" s="35" t="s">
        <v>296</v>
      </c>
      <c r="C5" s="198"/>
      <c r="E5" s="16"/>
      <c r="F5" s="37"/>
      <c r="G5" s="37"/>
      <c r="H5" s="37"/>
      <c r="I5" s="37"/>
    </row>
    <row r="6" spans="1:46" s="37" customFormat="1" x14ac:dyDescent="0.3">
      <c r="B6" s="15"/>
      <c r="C6" s="198"/>
      <c r="D6" s="205" t="str">
        <f xml:space="preserve"> 'Key inputs &amp; outputs'!D$52</f>
        <v>Cost &amp; price base date - for labelling purposes only</v>
      </c>
      <c r="E6" s="205">
        <f xml:space="preserve"> 'Key inputs &amp; outputs'!E$52</f>
        <v>0</v>
      </c>
      <c r="F6" s="205">
        <f xml:space="preserve"> 'Key inputs &amp; outputs'!F$52</f>
        <v>2024</v>
      </c>
      <c r="G6" s="205" t="str">
        <f xml:space="preserve"> 'Key inputs &amp; outputs'!G$52</f>
        <v>year</v>
      </c>
    </row>
    <row r="7" spans="1:46" s="36" customFormat="1" x14ac:dyDescent="0.3">
      <c r="B7" s="1"/>
      <c r="C7" s="187"/>
      <c r="D7" s="16" t="s">
        <v>297</v>
      </c>
      <c r="E7" s="16"/>
      <c r="F7" s="29" t="str">
        <f xml:space="preserve"> " in " &amp; F6 &amp; " prices"</f>
        <v xml:space="preserve"> in 2024 prices</v>
      </c>
      <c r="G7" s="16" t="s">
        <v>298</v>
      </c>
      <c r="I7" s="37"/>
    </row>
    <row r="8" spans="1:46" s="37" customFormat="1" x14ac:dyDescent="0.3">
      <c r="B8" s="15"/>
      <c r="C8" s="198"/>
      <c r="D8" s="26"/>
      <c r="E8" s="26"/>
      <c r="F8" s="26"/>
      <c r="G8" s="26"/>
    </row>
    <row r="9" spans="1:46" s="36" customFormat="1" x14ac:dyDescent="0.3">
      <c r="B9" s="35" t="str">
        <f xml:space="preserve"> D25</f>
        <v>Non-road benefits in 2024 prices</v>
      </c>
      <c r="E9" s="16"/>
      <c r="F9" s="37"/>
      <c r="G9" s="37"/>
      <c r="H9" s="63" t="s">
        <v>65</v>
      </c>
      <c r="I9" s="37"/>
    </row>
    <row r="10" spans="1:46" s="47" customFormat="1" x14ac:dyDescent="0.3">
      <c r="B10" s="15"/>
      <c r="C10" s="172"/>
      <c r="D10" s="87" t="str">
        <f>'Non-road benefits calcs'!D$23</f>
        <v>1 Fuel cost</v>
      </c>
      <c r="E10" s="308"/>
      <c r="F10" s="87">
        <f>'Non-road benefits calcs'!F$23</f>
        <v>169092518.40000001</v>
      </c>
      <c r="G10" s="87" t="str">
        <f>'Non-road benefits calcs'!G$23</f>
        <v>IDR/day</v>
      </c>
      <c r="H10" s="64">
        <f xml:space="preserve"> F10 / F$25</f>
        <v>1.2005869745489138E-2</v>
      </c>
      <c r="I10" s="46"/>
    </row>
    <row r="11" spans="1:46" s="47" customFormat="1" x14ac:dyDescent="0.3">
      <c r="B11" s="15"/>
      <c r="C11" s="172"/>
      <c r="D11" s="87" t="str">
        <f>'Non-road benefits calcs'!D$30</f>
        <v>2 O&amp;M cost of vehicles</v>
      </c>
      <c r="E11" s="308"/>
      <c r="F11" s="87">
        <f>'Non-road benefits calcs'!F$30</f>
        <v>98512114.895999998</v>
      </c>
      <c r="G11" s="87" t="str">
        <f>'Non-road benefits calcs'!G$30</f>
        <v>IDR/day</v>
      </c>
      <c r="H11" s="64">
        <f t="shared" ref="H11:H24" si="7" xml:space="preserve"> F11 / F$25</f>
        <v>6.9945354826179947E-3</v>
      </c>
      <c r="I11" s="46"/>
    </row>
    <row r="12" spans="1:46" s="47" customFormat="1" x14ac:dyDescent="0.3">
      <c r="B12" s="15"/>
      <c r="C12" s="172"/>
      <c r="D12" s="87" t="str">
        <f>'Non-road benefits calcs'!D$51</f>
        <v>3 O&amp;M cost of roads</v>
      </c>
      <c r="E12" s="308"/>
      <c r="F12" s="87">
        <f>'Non-road benefits calcs'!F$51</f>
        <v>960723.64247671235</v>
      </c>
      <c r="G12" s="87" t="str">
        <f>'Non-road benefits calcs'!G$51</f>
        <v>IDR/day</v>
      </c>
      <c r="H12" s="64">
        <f t="shared" si="7"/>
        <v>6.8213088444883462E-5</v>
      </c>
      <c r="I12" s="46"/>
    </row>
    <row r="13" spans="1:46" s="47" customFormat="1" x14ac:dyDescent="0.3">
      <c r="B13" s="15"/>
      <c r="C13" s="172"/>
      <c r="D13" s="87" t="str">
        <f>'Non-road benefits calcs'!D$61</f>
        <v>4 Cost of travel time</v>
      </c>
      <c r="E13" s="308"/>
      <c r="F13" s="87">
        <f>'Non-road benefits calcs'!F$61</f>
        <v>1068856446.6216002</v>
      </c>
      <c r="G13" s="87" t="str">
        <f>'Non-road benefits calcs'!G$61</f>
        <v>IDR/day</v>
      </c>
      <c r="H13" s="64">
        <f t="shared" si="7"/>
        <v>7.589070998640525E-2</v>
      </c>
      <c r="I13" s="46"/>
    </row>
    <row r="14" spans="1:46" s="47" customFormat="1" x14ac:dyDescent="0.3">
      <c r="B14" s="15"/>
      <c r="C14" s="172"/>
      <c r="D14" s="88" t="str">
        <f>'Non-road benefits calcs'!D$81</f>
        <v>5 Air pollution</v>
      </c>
      <c r="E14" s="309"/>
      <c r="F14" s="88">
        <f>'Non-road benefits calcs'!F$81</f>
        <v>3289579478.9028602</v>
      </c>
      <c r="G14" s="88" t="str">
        <f>'Non-road benefits calcs'!G$81</f>
        <v>IDR/day</v>
      </c>
      <c r="H14" s="64">
        <f t="shared" si="7"/>
        <v>0.23356599756658289</v>
      </c>
      <c r="I14" s="46"/>
    </row>
    <row r="15" spans="1:46" s="47" customFormat="1" x14ac:dyDescent="0.3">
      <c r="B15" s="15"/>
      <c r="C15" s="172"/>
      <c r="D15" s="88" t="str">
        <f xml:space="preserve"> 'Non-road benefits calcs'!D$101</f>
        <v>6 Noise pollution</v>
      </c>
      <c r="E15" s="309"/>
      <c r="F15" s="88">
        <f xml:space="preserve"> 'Non-road benefits calcs'!F$101</f>
        <v>565158530.26308024</v>
      </c>
      <c r="G15" s="88" t="str">
        <f xml:space="preserve"> 'Non-road benefits calcs'!G$101</f>
        <v>IDR/day</v>
      </c>
      <c r="H15" s="64">
        <f t="shared" si="7"/>
        <v>4.0127261478474861E-2</v>
      </c>
      <c r="I15" s="46"/>
    </row>
    <row r="16" spans="1:46" s="47" customFormat="1" x14ac:dyDescent="0.3">
      <c r="B16" s="15"/>
      <c r="C16" s="172"/>
      <c r="D16" s="88" t="str">
        <f xml:space="preserve"> 'Non-road benefits calcs'!D$121</f>
        <v>7 Water pollution</v>
      </c>
      <c r="E16" s="309"/>
      <c r="F16" s="88">
        <f xml:space="preserve"> 'Non-road benefits calcs'!F$121</f>
        <v>493436237.72351998</v>
      </c>
      <c r="G16" s="88" t="str">
        <f xml:space="preserve"> 'Non-road benefits calcs'!G$121</f>
        <v>IDR/day</v>
      </c>
      <c r="H16" s="64">
        <f t="shared" si="7"/>
        <v>3.5034851061824357E-2</v>
      </c>
      <c r="I16" s="46"/>
    </row>
    <row r="17" spans="2:46" s="47" customFormat="1" x14ac:dyDescent="0.3">
      <c r="B17" s="15"/>
      <c r="C17" s="172"/>
      <c r="D17" s="88" t="str">
        <f xml:space="preserve"> 'Non-road benefits calcs'!D$141</f>
        <v>8 GHG emissions</v>
      </c>
      <c r="E17" s="309"/>
      <c r="F17" s="88">
        <f xml:space="preserve"> 'Non-road benefits calcs'!F$141</f>
        <v>2075595531.9060001</v>
      </c>
      <c r="G17" s="88" t="str">
        <f xml:space="preserve"> 'Non-road benefits calcs'!G$141</f>
        <v>IDR/day</v>
      </c>
      <c r="H17" s="64">
        <f t="shared" si="7"/>
        <v>0.14737097676571526</v>
      </c>
      <c r="I17" s="46"/>
    </row>
    <row r="18" spans="2:46" s="47" customFormat="1" x14ac:dyDescent="0.3">
      <c r="B18" s="15"/>
      <c r="C18" s="172"/>
      <c r="D18" s="88" t="str">
        <f xml:space="preserve"> 'Non-road benefits calcs'!D$161</f>
        <v>9 Nature and landscape</v>
      </c>
      <c r="E18" s="309"/>
      <c r="F18" s="88">
        <f xml:space="preserve"> 'Non-road benefits calcs'!F$161</f>
        <v>363400246.06080002</v>
      </c>
      <c r="G18" s="88" t="str">
        <f xml:space="preserve"> 'Non-road benefits calcs'!G$161</f>
        <v>IDR/day</v>
      </c>
      <c r="H18" s="64">
        <f t="shared" si="7"/>
        <v>2.5802064224768603E-2</v>
      </c>
      <c r="I18" s="46"/>
    </row>
    <row r="19" spans="2:46" s="47" customFormat="1" x14ac:dyDescent="0.3">
      <c r="B19" s="15"/>
      <c r="C19" s="172"/>
      <c r="D19" s="87" t="str">
        <f>'Non-road benefits calcs'!D$173</f>
        <v>10 Crop and fruit revenue</v>
      </c>
      <c r="E19" s="308"/>
      <c r="F19" s="87">
        <f>'Non-road benefits calcs'!F$173</f>
        <v>4760628710.3100004</v>
      </c>
      <c r="G19" s="87" t="str">
        <f>'Non-road benefits calcs'!G$173</f>
        <v>IDR/day</v>
      </c>
      <c r="H19" s="64">
        <f t="shared" si="7"/>
        <v>0.33801311106747228</v>
      </c>
      <c r="I19" s="46"/>
    </row>
    <row r="20" spans="2:46" s="47" customFormat="1" x14ac:dyDescent="0.3">
      <c r="B20" s="15"/>
      <c r="C20" s="172"/>
      <c r="D20" s="87" t="str">
        <f>'Non-road benefits calcs'!D$180</f>
        <v xml:space="preserve">11 Fish revenue </v>
      </c>
      <c r="E20" s="308"/>
      <c r="F20" s="87">
        <f>'Non-road benefits calcs'!F$180</f>
        <v>1561200</v>
      </c>
      <c r="G20" s="87" t="str">
        <f>'Non-road benefits calcs'!G$180</f>
        <v>IDR/day</v>
      </c>
      <c r="H20" s="64">
        <f t="shared" si="7"/>
        <v>1.1084797851504257E-4</v>
      </c>
      <c r="I20" s="46"/>
    </row>
    <row r="21" spans="2:46" s="47" customFormat="1" x14ac:dyDescent="0.3">
      <c r="B21" s="15"/>
      <c r="C21" s="172"/>
      <c r="D21" s="87" t="str">
        <f>'Non-road benefits calcs'!D$212</f>
        <v xml:space="preserve">12 Livestock revenue </v>
      </c>
      <c r="E21" s="308"/>
      <c r="F21" s="87">
        <f>'Non-road benefits calcs'!F$212</f>
        <v>59689803.336519353</v>
      </c>
      <c r="G21" s="87" t="str">
        <f>'Non-road benefits calcs'!G$212</f>
        <v>IDR/day</v>
      </c>
      <c r="H21" s="64">
        <f t="shared" si="7"/>
        <v>4.2380822686482284E-3</v>
      </c>
      <c r="I21" s="46"/>
    </row>
    <row r="22" spans="2:46" s="47" customFormat="1" x14ac:dyDescent="0.3">
      <c r="B22" s="15"/>
      <c r="C22" s="172"/>
      <c r="D22" s="87" t="str">
        <f>'Non-road benefits calcs'!D$218</f>
        <v>13 Access to essential items/services</v>
      </c>
      <c r="E22" s="308"/>
      <c r="F22" s="87">
        <f>'Non-road benefits calcs'!F$218</f>
        <v>515921500</v>
      </c>
      <c r="G22" s="87" t="str">
        <f>'Non-road benefits calcs'!G$218</f>
        <v>IDR/day</v>
      </c>
      <c r="H22" s="64">
        <f t="shared" si="7"/>
        <v>3.6631344701158426E-2</v>
      </c>
      <c r="I22" s="46"/>
    </row>
    <row r="23" spans="2:46" s="47" customFormat="1" x14ac:dyDescent="0.3">
      <c r="B23" s="15"/>
      <c r="C23" s="172"/>
      <c r="D23" s="87" t="str">
        <f>'Non-road benefits calcs'!D$228</f>
        <v xml:space="preserve">14 Access to workplace and schools </v>
      </c>
      <c r="E23" s="308"/>
      <c r="F23" s="87">
        <f>'Non-road benefits calcs'!F$228</f>
        <v>615668843.83561659</v>
      </c>
      <c r="G23" s="87" t="str">
        <f>'Non-road benefits calcs'!G$228</f>
        <v>IDR/day</v>
      </c>
      <c r="H23" s="64">
        <f t="shared" si="7"/>
        <v>4.3713583636863652E-2</v>
      </c>
      <c r="I23" s="46"/>
    </row>
    <row r="24" spans="2:46" s="47" customFormat="1" x14ac:dyDescent="0.3">
      <c r="B24" s="15"/>
      <c r="C24" s="172"/>
      <c r="D24" s="87" t="str">
        <f>'Non-road benefits calcs'!D$237</f>
        <v xml:space="preserve">15 Mental health </v>
      </c>
      <c r="E24" s="308"/>
      <c r="F24" s="87">
        <f>'Non-road benefits calcs'!F$237</f>
        <v>6092114.1506849322</v>
      </c>
      <c r="G24" s="87" t="str">
        <f>'Non-road benefits calcs'!G$237</f>
        <v>IDR/day</v>
      </c>
      <c r="H24" s="104">
        <f t="shared" si="7"/>
        <v>4.3255094701915848E-4</v>
      </c>
      <c r="I24" s="46"/>
    </row>
    <row r="25" spans="2:46" s="43" customFormat="1" x14ac:dyDescent="0.3">
      <c r="B25" s="21"/>
      <c r="C25" s="154"/>
      <c r="D25" s="222" t="str">
        <f xml:space="preserve"> "Non-road benefits" &amp; F7</f>
        <v>Non-road benefits in 2024 prices</v>
      </c>
      <c r="E25" s="310"/>
      <c r="F25" s="223">
        <f>SUM(F10:F24)</f>
        <v>14084154000.049158</v>
      </c>
      <c r="G25" s="222" t="s">
        <v>404</v>
      </c>
      <c r="H25" s="203">
        <f>SUM(H10:H24)</f>
        <v>1</v>
      </c>
      <c r="I25" s="25"/>
      <c r="J25" s="25"/>
    </row>
    <row r="26" spans="2:46" s="9" customFormat="1" x14ac:dyDescent="0.3">
      <c r="B26" s="15"/>
      <c r="C26" s="172"/>
      <c r="E26" s="16"/>
      <c r="F26" s="10"/>
      <c r="G26" s="10"/>
      <c r="H26" s="10"/>
      <c r="I26" s="10"/>
    </row>
    <row r="27" spans="2:46" s="36" customFormat="1" x14ac:dyDescent="0.3">
      <c r="B27" s="35" t="s">
        <v>299</v>
      </c>
      <c r="C27" s="198"/>
      <c r="E27" s="16"/>
      <c r="F27" s="37"/>
      <c r="G27" s="37"/>
      <c r="H27" s="37"/>
      <c r="I27" s="37"/>
    </row>
    <row r="28" spans="2:46" s="36" customFormat="1" x14ac:dyDescent="0.3">
      <c r="B28" s="35"/>
      <c r="C28" s="198" t="s">
        <v>95</v>
      </c>
      <c r="E28" s="16"/>
      <c r="F28" s="37"/>
      <c r="G28" s="37"/>
      <c r="H28" s="37"/>
      <c r="I28" s="37"/>
    </row>
    <row r="29" spans="2:46" s="10" customFormat="1" x14ac:dyDescent="0.3">
      <c r="B29" s="15"/>
      <c r="C29" s="172"/>
      <c r="D29" s="38" t="str">
        <f xml:space="preserve"> 'Key inputs &amp; outputs'!D$55</f>
        <v>Betterment cost</v>
      </c>
      <c r="E29" s="205">
        <f xml:space="preserve"> 'Key inputs &amp; outputs'!E$55</f>
        <v>0</v>
      </c>
      <c r="F29" s="38">
        <f xml:space="preserve"> 'Key inputs &amp; outputs'!F$55</f>
        <v>311390707200</v>
      </c>
      <c r="G29" s="38" t="str">
        <f xml:space="preserve"> 'Key inputs &amp; outputs'!G$55</f>
        <v>IDR</v>
      </c>
    </row>
    <row r="30" spans="2:46" s="9" customFormat="1" x14ac:dyDescent="0.3">
      <c r="B30" s="15"/>
      <c r="C30" s="172"/>
      <c r="D30" s="9" t="s">
        <v>300</v>
      </c>
      <c r="E30" s="16"/>
      <c r="F30" s="10"/>
      <c r="G30" s="10" t="s">
        <v>301</v>
      </c>
      <c r="H30" s="10">
        <f xml:space="preserve"> SUM(J30:AM30)</f>
        <v>1</v>
      </c>
      <c r="I30" s="10"/>
      <c r="J30" s="12"/>
      <c r="K30" s="12"/>
      <c r="L30" s="12"/>
      <c r="M30" s="12"/>
      <c r="N30" s="12"/>
      <c r="O30" s="12"/>
      <c r="P30" s="12"/>
      <c r="Q30" s="12"/>
      <c r="R30" s="12"/>
      <c r="S30" s="12"/>
      <c r="T30" s="12">
        <v>1</v>
      </c>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row>
    <row r="31" spans="2:46" x14ac:dyDescent="0.3">
      <c r="D31" t="s">
        <v>95</v>
      </c>
      <c r="G31" s="4" t="s">
        <v>388</v>
      </c>
      <c r="H31" s="4">
        <f xml:space="preserve"> SUM(J31:AM31)</f>
        <v>-311390707200</v>
      </c>
      <c r="J31">
        <f t="shared" ref="J31:AN31" si="8" xml:space="preserve"> -1 * $F29 * J30</f>
        <v>0</v>
      </c>
      <c r="K31">
        <f t="shared" si="8"/>
        <v>0</v>
      </c>
      <c r="L31">
        <f t="shared" si="8"/>
        <v>0</v>
      </c>
      <c r="M31">
        <f t="shared" si="8"/>
        <v>0</v>
      </c>
      <c r="N31">
        <f t="shared" si="8"/>
        <v>0</v>
      </c>
      <c r="O31">
        <f t="shared" si="8"/>
        <v>0</v>
      </c>
      <c r="P31">
        <f t="shared" si="8"/>
        <v>0</v>
      </c>
      <c r="Q31">
        <f t="shared" si="8"/>
        <v>0</v>
      </c>
      <c r="R31">
        <f t="shared" si="8"/>
        <v>0</v>
      </c>
      <c r="S31">
        <f t="shared" si="8"/>
        <v>0</v>
      </c>
      <c r="T31">
        <f xml:space="preserve"> -1 * $F29 * T30</f>
        <v>-311390707200</v>
      </c>
      <c r="U31">
        <f t="shared" si="8"/>
        <v>0</v>
      </c>
      <c r="V31">
        <f t="shared" si="8"/>
        <v>0</v>
      </c>
      <c r="W31">
        <f t="shared" si="8"/>
        <v>0</v>
      </c>
      <c r="X31">
        <f t="shared" si="8"/>
        <v>0</v>
      </c>
      <c r="Y31">
        <f t="shared" si="8"/>
        <v>0</v>
      </c>
      <c r="Z31">
        <f t="shared" si="8"/>
        <v>0</v>
      </c>
      <c r="AA31">
        <f t="shared" si="8"/>
        <v>0</v>
      </c>
      <c r="AB31">
        <f t="shared" si="8"/>
        <v>0</v>
      </c>
      <c r="AC31">
        <f t="shared" si="8"/>
        <v>0</v>
      </c>
      <c r="AD31">
        <f t="shared" si="8"/>
        <v>0</v>
      </c>
      <c r="AE31">
        <f t="shared" si="8"/>
        <v>0</v>
      </c>
      <c r="AF31">
        <f t="shared" si="8"/>
        <v>0</v>
      </c>
      <c r="AG31">
        <f t="shared" si="8"/>
        <v>0</v>
      </c>
      <c r="AH31">
        <f t="shared" si="8"/>
        <v>0</v>
      </c>
      <c r="AI31">
        <f t="shared" si="8"/>
        <v>0</v>
      </c>
      <c r="AJ31">
        <f t="shared" si="8"/>
        <v>0</v>
      </c>
      <c r="AK31">
        <f t="shared" si="8"/>
        <v>0</v>
      </c>
      <c r="AL31">
        <f t="shared" si="8"/>
        <v>0</v>
      </c>
      <c r="AM31">
        <f t="shared" si="8"/>
        <v>0</v>
      </c>
      <c r="AN31">
        <f t="shared" si="8"/>
        <v>0</v>
      </c>
      <c r="AO31">
        <f t="shared" ref="AO31:AT31" si="9" xml:space="preserve"> -1 * $F29 * AO30</f>
        <v>0</v>
      </c>
      <c r="AP31">
        <f t="shared" si="9"/>
        <v>0</v>
      </c>
      <c r="AQ31">
        <f t="shared" si="9"/>
        <v>0</v>
      </c>
      <c r="AR31">
        <f t="shared" si="9"/>
        <v>0</v>
      </c>
      <c r="AS31">
        <f t="shared" si="9"/>
        <v>0</v>
      </c>
      <c r="AT31">
        <f t="shared" si="9"/>
        <v>0</v>
      </c>
    </row>
    <row r="32" spans="2:46" s="36" customFormat="1" x14ac:dyDescent="0.3">
      <c r="B32" s="35"/>
      <c r="C32" s="198"/>
      <c r="E32" s="16"/>
      <c r="F32" s="37"/>
      <c r="G32" s="37"/>
      <c r="H32" s="37"/>
      <c r="I32" s="37"/>
    </row>
    <row r="33" spans="1:47" s="36" customFormat="1" x14ac:dyDescent="0.3">
      <c r="B33" s="35"/>
      <c r="C33" s="198" t="s">
        <v>302</v>
      </c>
      <c r="E33" s="16"/>
      <c r="F33" s="37"/>
      <c r="G33" s="37"/>
      <c r="H33" s="37"/>
      <c r="I33" s="37"/>
    </row>
    <row r="34" spans="1:47" s="9" customFormat="1" x14ac:dyDescent="0.3">
      <c r="B34" s="1"/>
      <c r="C34" s="173"/>
      <c r="D34" s="38" t="str">
        <f xml:space="preserve"> 'Key inputs &amp; outputs'!D$58</f>
        <v xml:space="preserve">Avoided road damage benefit based on past occurrences </v>
      </c>
      <c r="E34" s="205">
        <f xml:space="preserve"> 'Key inputs &amp; outputs'!E$58</f>
        <v>0</v>
      </c>
      <c r="F34" s="38">
        <f>F35*F36</f>
        <v>107999997118.92789</v>
      </c>
      <c r="G34" s="38" t="str">
        <f xml:space="preserve"> 'Key inputs &amp; outputs'!G$58</f>
        <v>IDR</v>
      </c>
      <c r="H34" s="10"/>
      <c r="I34" s="10"/>
    </row>
    <row r="35" spans="1:47" s="9" customFormat="1" x14ac:dyDescent="0.3">
      <c r="B35" s="1"/>
      <c r="C35" s="173"/>
      <c r="D35" s="38" t="s">
        <v>419</v>
      </c>
      <c r="E35" s="205"/>
      <c r="F35" s="393">
        <v>6000000000</v>
      </c>
      <c r="G35" s="38" t="s">
        <v>388</v>
      </c>
      <c r="H35" s="10"/>
      <c r="I35" s="10"/>
    </row>
    <row r="36" spans="1:47" s="9" customFormat="1" ht="15" customHeight="1" x14ac:dyDescent="0.3">
      <c r="A36" s="10"/>
      <c r="B36" s="1"/>
      <c r="C36" s="173"/>
      <c r="D36" s="38" t="str">
        <f xml:space="preserve"> 'Key inputs &amp; outputs'!D$59</f>
        <v xml:space="preserve">Number of past occurrences </v>
      </c>
      <c r="E36" s="205">
        <f xml:space="preserve"> 'Key inputs &amp; outputs'!E$59</f>
        <v>0</v>
      </c>
      <c r="F36" s="38">
        <f>H39</f>
        <v>17.999999519821316</v>
      </c>
      <c r="G36" s="38" t="str">
        <f xml:space="preserve"> 'Key inputs &amp; outputs'!G$59</f>
        <v xml:space="preserve">occurrences </v>
      </c>
      <c r="H36" s="10"/>
      <c r="I36" s="10"/>
    </row>
    <row r="37" spans="1:47" s="9" customFormat="1" x14ac:dyDescent="0.3">
      <c r="A37" s="10"/>
      <c r="B37" s="1"/>
      <c r="C37" s="173"/>
      <c r="D37" s="10" t="s">
        <v>303</v>
      </c>
      <c r="E37" s="26"/>
      <c r="F37" s="19">
        <f xml:space="preserve"> F34 / F36</f>
        <v>6000000000</v>
      </c>
      <c r="G37" s="10" t="s">
        <v>409</v>
      </c>
      <c r="H37" s="10"/>
      <c r="I37" s="10"/>
    </row>
    <row r="38" spans="1:47" s="10" customFormat="1" ht="5.0999999999999996" customHeight="1" x14ac:dyDescent="0.3">
      <c r="B38" s="15"/>
      <c r="C38" s="172"/>
      <c r="E38" s="26"/>
      <c r="F38" s="19"/>
    </row>
    <row r="39" spans="1:47" s="9" customFormat="1" x14ac:dyDescent="0.3">
      <c r="B39" s="15"/>
      <c r="C39" s="172"/>
      <c r="D39" s="366" t="s">
        <v>304</v>
      </c>
      <c r="E39" s="16"/>
      <c r="F39" s="10"/>
      <c r="G39" s="10" t="s">
        <v>301</v>
      </c>
      <c r="H39" s="10">
        <f xml:space="preserve"> SUM(J39:AT39)</f>
        <v>17.999999519821316</v>
      </c>
      <c r="I39" s="10"/>
      <c r="J39" s="12">
        <f>J45</f>
        <v>0</v>
      </c>
      <c r="K39" s="12">
        <f t="shared" ref="K39:AT39" si="10">K45</f>
        <v>0</v>
      </c>
      <c r="L39" s="12">
        <f t="shared" si="10"/>
        <v>0</v>
      </c>
      <c r="M39" s="12">
        <f t="shared" si="10"/>
        <v>0</v>
      </c>
      <c r="N39" s="12">
        <f t="shared" si="10"/>
        <v>0</v>
      </c>
      <c r="O39" s="12">
        <f t="shared" si="10"/>
        <v>0</v>
      </c>
      <c r="P39" s="12">
        <f t="shared" si="10"/>
        <v>0</v>
      </c>
      <c r="Q39" s="12">
        <f t="shared" si="10"/>
        <v>0</v>
      </c>
      <c r="R39" s="12">
        <f t="shared" si="10"/>
        <v>0</v>
      </c>
      <c r="S39" s="12">
        <f t="shared" si="10"/>
        <v>0</v>
      </c>
      <c r="T39" s="12">
        <f t="shared" si="10"/>
        <v>0.99999997332340629</v>
      </c>
      <c r="U39" s="12">
        <f t="shared" si="10"/>
        <v>1.9999999466468126</v>
      </c>
      <c r="V39" s="12">
        <f t="shared" si="10"/>
        <v>0.99999997332340629</v>
      </c>
      <c r="W39" s="12">
        <f t="shared" si="10"/>
        <v>0.99999997332340629</v>
      </c>
      <c r="X39" s="12">
        <f t="shared" si="10"/>
        <v>0.99999997332340629</v>
      </c>
      <c r="Y39" s="12">
        <f t="shared" si="10"/>
        <v>0.99999997332340629</v>
      </c>
      <c r="Z39" s="12">
        <f t="shared" si="10"/>
        <v>0</v>
      </c>
      <c r="AA39" s="12">
        <f t="shared" si="10"/>
        <v>0.99999997332340629</v>
      </c>
      <c r="AB39" s="12">
        <f t="shared" si="10"/>
        <v>0.99999997332340629</v>
      </c>
      <c r="AC39" s="12">
        <f t="shared" si="10"/>
        <v>0</v>
      </c>
      <c r="AD39" s="12">
        <f t="shared" si="10"/>
        <v>0.99999997332340629</v>
      </c>
      <c r="AE39" s="12">
        <f t="shared" si="10"/>
        <v>1.9999999466468126</v>
      </c>
      <c r="AF39" s="12">
        <f t="shared" si="10"/>
        <v>0</v>
      </c>
      <c r="AG39" s="12">
        <f t="shared" si="10"/>
        <v>0.99999997332340629</v>
      </c>
      <c r="AH39" s="12">
        <f t="shared" si="10"/>
        <v>0</v>
      </c>
      <c r="AI39" s="12">
        <f t="shared" si="10"/>
        <v>0.99999997332340629</v>
      </c>
      <c r="AJ39" s="12">
        <f t="shared" si="10"/>
        <v>0</v>
      </c>
      <c r="AK39" s="12">
        <f t="shared" si="10"/>
        <v>0.99999997332340629</v>
      </c>
      <c r="AL39" s="12">
        <f t="shared" si="10"/>
        <v>0.99999997332340629</v>
      </c>
      <c r="AM39" s="12">
        <f t="shared" si="10"/>
        <v>0.99999997332340629</v>
      </c>
      <c r="AN39" s="12">
        <f t="shared" si="10"/>
        <v>0</v>
      </c>
      <c r="AO39" s="12">
        <f t="shared" si="10"/>
        <v>0</v>
      </c>
      <c r="AP39" s="12">
        <f t="shared" si="10"/>
        <v>0</v>
      </c>
      <c r="AQ39" s="12">
        <f t="shared" si="10"/>
        <v>0.99999997332340629</v>
      </c>
      <c r="AR39" s="12">
        <f t="shared" si="10"/>
        <v>0</v>
      </c>
      <c r="AS39" s="12">
        <f t="shared" si="10"/>
        <v>0</v>
      </c>
      <c r="AT39" s="12">
        <f t="shared" si="10"/>
        <v>0</v>
      </c>
    </row>
    <row r="40" spans="1:47" x14ac:dyDescent="0.3">
      <c r="D40" t="s">
        <v>302</v>
      </c>
      <c r="G40" s="10" t="s">
        <v>388</v>
      </c>
      <c r="H40" s="10">
        <f xml:space="preserve"> SUM(J40:AT40)</f>
        <v>107999997118.92783</v>
      </c>
      <c r="I40" s="10"/>
      <c r="J40" s="10">
        <f t="shared" ref="J40" si="11" xml:space="preserve"> $F$37 * J39</f>
        <v>0</v>
      </c>
      <c r="K40" s="10">
        <f t="shared" ref="K40" si="12" xml:space="preserve"> $F$37 * K39</f>
        <v>0</v>
      </c>
      <c r="L40" s="10">
        <f t="shared" ref="L40" si="13" xml:space="preserve"> $F$37 * L39</f>
        <v>0</v>
      </c>
      <c r="M40" s="10">
        <f t="shared" ref="M40" si="14" xml:space="preserve"> $F$37 * M39</f>
        <v>0</v>
      </c>
      <c r="N40" s="10">
        <f t="shared" ref="N40" si="15" xml:space="preserve"> $F$37 * N39</f>
        <v>0</v>
      </c>
      <c r="O40" s="10">
        <f t="shared" ref="O40" si="16" xml:space="preserve"> $F$37 * O39</f>
        <v>0</v>
      </c>
      <c r="P40" s="10">
        <f t="shared" ref="P40" si="17" xml:space="preserve"> $F$37 * P39</f>
        <v>0</v>
      </c>
      <c r="Q40" s="10">
        <f t="shared" ref="Q40" si="18" xml:space="preserve"> $F$37 * Q39</f>
        <v>0</v>
      </c>
      <c r="R40" s="10">
        <f t="shared" ref="R40:Y40" si="19" xml:space="preserve"> $F$37 * R39</f>
        <v>0</v>
      </c>
      <c r="S40" s="10">
        <f t="shared" si="19"/>
        <v>0</v>
      </c>
      <c r="T40" s="10">
        <f t="shared" si="19"/>
        <v>5999999839.9404373</v>
      </c>
      <c r="U40" s="10">
        <f xml:space="preserve"> $F$37 * U39</f>
        <v>11999999679.880875</v>
      </c>
      <c r="V40" s="10">
        <f t="shared" si="19"/>
        <v>5999999839.9404373</v>
      </c>
      <c r="W40" s="10">
        <f t="shared" si="19"/>
        <v>5999999839.9404373</v>
      </c>
      <c r="X40" s="10">
        <f t="shared" si="19"/>
        <v>5999999839.9404373</v>
      </c>
      <c r="Y40" s="10">
        <f t="shared" si="19"/>
        <v>5999999839.9404373</v>
      </c>
      <c r="Z40" s="10">
        <f t="shared" ref="Z40" si="20" xml:space="preserve"> $F$37 * Z39</f>
        <v>0</v>
      </c>
      <c r="AA40" s="10">
        <f t="shared" ref="AA40" si="21" xml:space="preserve"> $F$37 * AA39</f>
        <v>5999999839.9404373</v>
      </c>
      <c r="AB40" s="10">
        <f t="shared" ref="AB40" si="22" xml:space="preserve"> $F$37 * AB39</f>
        <v>5999999839.9404373</v>
      </c>
      <c r="AC40" s="10">
        <f t="shared" ref="AC40" si="23" xml:space="preserve"> $F$37 * AC39</f>
        <v>0</v>
      </c>
      <c r="AD40" s="10">
        <f t="shared" ref="AD40" si="24" xml:space="preserve"> $F$37 * AD39</f>
        <v>5999999839.9404373</v>
      </c>
      <c r="AE40" s="10">
        <f t="shared" ref="AE40" si="25" xml:space="preserve"> $F$37 * AE39</f>
        <v>11999999679.880875</v>
      </c>
      <c r="AF40" s="10">
        <f t="shared" ref="AF40" si="26" xml:space="preserve"> $F$37 * AF39</f>
        <v>0</v>
      </c>
      <c r="AG40" s="10">
        <f t="shared" ref="AG40" si="27" xml:space="preserve"> $F$37 * AG39</f>
        <v>5999999839.9404373</v>
      </c>
      <c r="AH40" s="10">
        <f t="shared" ref="AH40" si="28" xml:space="preserve"> $F$37 * AH39</f>
        <v>0</v>
      </c>
      <c r="AI40" s="10">
        <f t="shared" ref="AI40" si="29" xml:space="preserve"> $F$37 * AI39</f>
        <v>5999999839.9404373</v>
      </c>
      <c r="AJ40" s="10">
        <f t="shared" ref="AJ40" si="30" xml:space="preserve"> $F$37 * AJ39</f>
        <v>0</v>
      </c>
      <c r="AK40" s="10">
        <f t="shared" ref="AK40" si="31" xml:space="preserve"> $F$37 * AK39</f>
        <v>5999999839.9404373</v>
      </c>
      <c r="AL40" s="10">
        <f t="shared" ref="AL40" si="32" xml:space="preserve"> $F$37 * AL39</f>
        <v>5999999839.9404373</v>
      </c>
      <c r="AM40" s="10">
        <f t="shared" ref="AM40:AS40" si="33" xml:space="preserve"> $F$37 * AM39</f>
        <v>5999999839.9404373</v>
      </c>
      <c r="AN40" s="10">
        <f t="shared" ref="AN40:AT40" si="34" xml:space="preserve"> $F$37 * AN39</f>
        <v>0</v>
      </c>
      <c r="AO40" s="10">
        <f t="shared" si="33"/>
        <v>0</v>
      </c>
      <c r="AP40" s="10">
        <f t="shared" si="34"/>
        <v>0</v>
      </c>
      <c r="AQ40" s="10">
        <f t="shared" si="33"/>
        <v>5999999839.9404373</v>
      </c>
      <c r="AR40" s="10">
        <f t="shared" si="34"/>
        <v>0</v>
      </c>
      <c r="AS40" s="10">
        <f t="shared" si="33"/>
        <v>0</v>
      </c>
      <c r="AT40" s="10">
        <f t="shared" si="34"/>
        <v>0</v>
      </c>
      <c r="AU40" s="9"/>
    </row>
    <row r="41" spans="1:47" s="36" customFormat="1" x14ac:dyDescent="0.3">
      <c r="B41" s="35"/>
      <c r="C41" s="198"/>
      <c r="E41" s="16"/>
      <c r="F41" s="37"/>
      <c r="G41" s="37"/>
      <c r="H41" s="37"/>
      <c r="I41" s="37"/>
    </row>
    <row r="42" spans="1:47" s="36" customFormat="1" x14ac:dyDescent="0.3">
      <c r="B42" s="35"/>
      <c r="C42" s="198" t="s">
        <v>305</v>
      </c>
      <c r="E42" s="16"/>
      <c r="F42" s="37"/>
      <c r="G42" s="37"/>
      <c r="H42" s="37"/>
      <c r="I42" s="37"/>
    </row>
    <row r="43" spans="1:47" s="8" customFormat="1" x14ac:dyDescent="0.3">
      <c r="B43" s="21"/>
      <c r="C43" s="154"/>
      <c r="D43" s="19" t="str">
        <f t="shared" ref="D43:G43" si="35" xml:space="preserve"> D$25</f>
        <v>Non-road benefits in 2024 prices</v>
      </c>
      <c r="E43" s="29"/>
      <c r="F43" s="19">
        <f xml:space="preserve"> F$25</f>
        <v>14084154000.049158</v>
      </c>
      <c r="G43" s="19" t="str">
        <f t="shared" si="35"/>
        <v>IDR/day</v>
      </c>
      <c r="H43" s="19"/>
      <c r="I43" s="19"/>
    </row>
    <row r="44" spans="1:47" s="8" customFormat="1" x14ac:dyDescent="0.3">
      <c r="B44" s="21"/>
      <c r="C44" s="154"/>
      <c r="D44" s="19" t="s">
        <v>417</v>
      </c>
      <c r="E44" s="29"/>
      <c r="F44" s="362">
        <f>'WestKalimant Data (IDR)'!C33</f>
        <v>7</v>
      </c>
      <c r="G44" s="19" t="s">
        <v>99</v>
      </c>
      <c r="H44" s="19"/>
      <c r="I44" s="19"/>
    </row>
    <row r="45" spans="1:47" s="9" customFormat="1" x14ac:dyDescent="0.3">
      <c r="B45" s="15"/>
      <c r="C45" s="172"/>
      <c r="D45" s="19" t="s">
        <v>416</v>
      </c>
      <c r="E45" s="29"/>
      <c r="F45" s="10"/>
      <c r="G45" s="10" t="s">
        <v>418</v>
      </c>
      <c r="H45" s="10">
        <f xml:space="preserve"> SUM(J45:AT45)</f>
        <v>17.999999519821316</v>
      </c>
      <c r="I45" s="10"/>
      <c r="J45" s="363"/>
      <c r="K45" s="363"/>
      <c r="L45" s="363"/>
      <c r="M45" s="363"/>
      <c r="N45" s="363"/>
      <c r="O45" s="363"/>
      <c r="P45" s="363"/>
      <c r="Q45" s="363"/>
      <c r="R45" s="363"/>
      <c r="S45" s="363"/>
      <c r="T45" s="363">
        <f>'Climate Impacts'!M27</f>
        <v>0.99999997332340629</v>
      </c>
      <c r="U45" s="363">
        <f>'Climate Impacts'!N27</f>
        <v>1.9999999466468126</v>
      </c>
      <c r="V45" s="363">
        <f>'Climate Impacts'!O27</f>
        <v>0.99999997332340629</v>
      </c>
      <c r="W45" s="363">
        <f>'Climate Impacts'!P27</f>
        <v>0.99999997332340629</v>
      </c>
      <c r="X45" s="363">
        <f>'Climate Impacts'!Q27</f>
        <v>0.99999997332340629</v>
      </c>
      <c r="Y45" s="363">
        <f>'Climate Impacts'!R27</f>
        <v>0.99999997332340629</v>
      </c>
      <c r="Z45" s="363">
        <f>'Climate Impacts'!S27</f>
        <v>0</v>
      </c>
      <c r="AA45" s="363">
        <f>'Climate Impacts'!T27</f>
        <v>0.99999997332340629</v>
      </c>
      <c r="AB45" s="363">
        <f>'Climate Impacts'!U27</f>
        <v>0.99999997332340629</v>
      </c>
      <c r="AC45" s="363">
        <f>'Climate Impacts'!V27</f>
        <v>0</v>
      </c>
      <c r="AD45" s="363">
        <f>'Climate Impacts'!W27</f>
        <v>0.99999997332340629</v>
      </c>
      <c r="AE45" s="363">
        <f>'Climate Impacts'!X27</f>
        <v>1.9999999466468126</v>
      </c>
      <c r="AF45" s="363">
        <f>'Climate Impacts'!Y27</f>
        <v>0</v>
      </c>
      <c r="AG45" s="363">
        <f>'Climate Impacts'!Z27</f>
        <v>0.99999997332340629</v>
      </c>
      <c r="AH45" s="363">
        <f>'Climate Impacts'!AA27</f>
        <v>0</v>
      </c>
      <c r="AI45" s="363">
        <f>'Climate Impacts'!AB27</f>
        <v>0.99999997332340629</v>
      </c>
      <c r="AJ45" s="363">
        <f>'Climate Impacts'!AC27</f>
        <v>0</v>
      </c>
      <c r="AK45" s="363">
        <f>'Climate Impacts'!AD27</f>
        <v>0.99999997332340629</v>
      </c>
      <c r="AL45" s="363">
        <f>'Climate Impacts'!AE27</f>
        <v>0.99999997332340629</v>
      </c>
      <c r="AM45" s="363">
        <f>'Climate Impacts'!AF27</f>
        <v>0.99999997332340629</v>
      </c>
      <c r="AN45" s="363">
        <f>'Climate Impacts'!AG27</f>
        <v>0</v>
      </c>
      <c r="AO45" s="363">
        <f>'Climate Impacts'!AH27</f>
        <v>0</v>
      </c>
      <c r="AP45" s="363">
        <f>'Climate Impacts'!AI27</f>
        <v>0</v>
      </c>
      <c r="AQ45" s="363">
        <f>'Climate Impacts'!AJ27</f>
        <v>0.99999997332340629</v>
      </c>
      <c r="AR45" s="363">
        <f>'Climate Impacts'!AK27</f>
        <v>0</v>
      </c>
      <c r="AS45" s="363">
        <f>'Climate Impacts'!AL27</f>
        <v>0</v>
      </c>
      <c r="AT45" s="363">
        <f>'Climate Impacts'!AM27</f>
        <v>0</v>
      </c>
    </row>
    <row r="46" spans="1:47" x14ac:dyDescent="0.3">
      <c r="D46" s="25" t="s">
        <v>305</v>
      </c>
      <c r="E46" s="29"/>
      <c r="G46" s="4" t="s">
        <v>388</v>
      </c>
      <c r="H46" s="4">
        <f xml:space="preserve"> SUM(J46:AT46)</f>
        <v>1774603356665.8196</v>
      </c>
      <c r="J46">
        <f xml:space="preserve"> $F43 * J45 *$F$44</f>
        <v>0</v>
      </c>
      <c r="K46">
        <f t="shared" ref="K46:AS46" si="36" xml:space="preserve"> $F43 * K45 *$F$44</f>
        <v>0</v>
      </c>
      <c r="L46">
        <f t="shared" si="36"/>
        <v>0</v>
      </c>
      <c r="M46">
        <f t="shared" si="36"/>
        <v>0</v>
      </c>
      <c r="N46">
        <f t="shared" si="36"/>
        <v>0</v>
      </c>
      <c r="O46">
        <f t="shared" si="36"/>
        <v>0</v>
      </c>
      <c r="P46">
        <f t="shared" si="36"/>
        <v>0</v>
      </c>
      <c r="Q46">
        <f t="shared" si="36"/>
        <v>0</v>
      </c>
      <c r="R46">
        <f t="shared" si="36"/>
        <v>0</v>
      </c>
      <c r="S46">
        <f t="shared" si="36"/>
        <v>0</v>
      </c>
      <c r="T46">
        <f t="shared" si="36"/>
        <v>98589075370.323318</v>
      </c>
      <c r="U46">
        <f xml:space="preserve"> $F43 * U45 *$F$44</f>
        <v>197178150740.64664</v>
      </c>
      <c r="V46">
        <f t="shared" si="36"/>
        <v>98589075370.323318</v>
      </c>
      <c r="W46">
        <f t="shared" si="36"/>
        <v>98589075370.323318</v>
      </c>
      <c r="X46">
        <f t="shared" si="36"/>
        <v>98589075370.323318</v>
      </c>
      <c r="Y46">
        <f t="shared" si="36"/>
        <v>98589075370.323318</v>
      </c>
      <c r="Z46">
        <f t="shared" si="36"/>
        <v>0</v>
      </c>
      <c r="AA46">
        <f t="shared" si="36"/>
        <v>98589075370.323318</v>
      </c>
      <c r="AB46">
        <f t="shared" si="36"/>
        <v>98589075370.323318</v>
      </c>
      <c r="AC46">
        <f t="shared" si="36"/>
        <v>0</v>
      </c>
      <c r="AD46">
        <f t="shared" si="36"/>
        <v>98589075370.323318</v>
      </c>
      <c r="AE46">
        <f t="shared" si="36"/>
        <v>197178150740.64664</v>
      </c>
      <c r="AF46">
        <f t="shared" si="36"/>
        <v>0</v>
      </c>
      <c r="AG46">
        <f t="shared" si="36"/>
        <v>98589075370.323318</v>
      </c>
      <c r="AH46">
        <f t="shared" si="36"/>
        <v>0</v>
      </c>
      <c r="AI46">
        <f t="shared" si="36"/>
        <v>98589075370.323318</v>
      </c>
      <c r="AJ46">
        <f t="shared" si="36"/>
        <v>0</v>
      </c>
      <c r="AK46">
        <f t="shared" si="36"/>
        <v>98589075370.323318</v>
      </c>
      <c r="AL46">
        <f t="shared" si="36"/>
        <v>98589075370.323318</v>
      </c>
      <c r="AM46">
        <f t="shared" si="36"/>
        <v>98589075370.323318</v>
      </c>
      <c r="AN46">
        <f t="shared" si="36"/>
        <v>0</v>
      </c>
      <c r="AO46">
        <f t="shared" si="36"/>
        <v>0</v>
      </c>
      <c r="AP46">
        <f t="shared" si="36"/>
        <v>0</v>
      </c>
      <c r="AQ46">
        <f t="shared" si="36"/>
        <v>98589075370.323318</v>
      </c>
      <c r="AR46">
        <f t="shared" si="36"/>
        <v>0</v>
      </c>
      <c r="AS46">
        <f t="shared" si="36"/>
        <v>0</v>
      </c>
      <c r="AT46">
        <f xml:space="preserve"> $F43 * AT45 *$F$44</f>
        <v>0</v>
      </c>
    </row>
    <row r="48" spans="1:47" s="36" customFormat="1" x14ac:dyDescent="0.3">
      <c r="B48" s="35" t="str">
        <f xml:space="preserve"> "Value Statement" &amp; $F$7</f>
        <v>Value Statement in 2024 prices</v>
      </c>
      <c r="E48" s="16"/>
      <c r="F48" s="37"/>
      <c r="G48" s="37"/>
      <c r="H48" s="37"/>
      <c r="I48" s="37"/>
    </row>
    <row r="49" spans="2:46" x14ac:dyDescent="0.3">
      <c r="D49" s="235" t="str">
        <f t="shared" ref="D49:AT49" si="37" xml:space="preserve"> D$31</f>
        <v>Betterment cost</v>
      </c>
      <c r="E49" s="311"/>
      <c r="F49" s="235">
        <f xml:space="preserve"> F$31</f>
        <v>0</v>
      </c>
      <c r="G49" s="235" t="str">
        <f t="shared" si="37"/>
        <v>IDR</v>
      </c>
      <c r="H49" s="235">
        <f xml:space="preserve"> H$31</f>
        <v>-311390707200</v>
      </c>
      <c r="I49" s="235">
        <f t="shared" si="37"/>
        <v>0</v>
      </c>
      <c r="J49" s="235">
        <f xml:space="preserve"> J$31</f>
        <v>0</v>
      </c>
      <c r="K49" s="235">
        <f t="shared" si="37"/>
        <v>0</v>
      </c>
      <c r="L49" s="235">
        <f t="shared" si="37"/>
        <v>0</v>
      </c>
      <c r="M49" s="235">
        <f t="shared" si="37"/>
        <v>0</v>
      </c>
      <c r="N49" s="235">
        <f t="shared" si="37"/>
        <v>0</v>
      </c>
      <c r="O49" s="235">
        <f t="shared" si="37"/>
        <v>0</v>
      </c>
      <c r="P49" s="235">
        <f t="shared" si="37"/>
        <v>0</v>
      </c>
      <c r="Q49" s="235">
        <f t="shared" si="37"/>
        <v>0</v>
      </c>
      <c r="R49" s="235">
        <f t="shared" si="37"/>
        <v>0</v>
      </c>
      <c r="S49" s="235">
        <f t="shared" si="37"/>
        <v>0</v>
      </c>
      <c r="T49" s="235">
        <f t="shared" si="37"/>
        <v>-311390707200</v>
      </c>
      <c r="U49" s="235">
        <f t="shared" si="37"/>
        <v>0</v>
      </c>
      <c r="V49" s="235">
        <f t="shared" si="37"/>
        <v>0</v>
      </c>
      <c r="W49" s="235">
        <f t="shared" si="37"/>
        <v>0</v>
      </c>
      <c r="X49" s="235">
        <f t="shared" si="37"/>
        <v>0</v>
      </c>
      <c r="Y49" s="235">
        <f t="shared" si="37"/>
        <v>0</v>
      </c>
      <c r="Z49" s="235">
        <f t="shared" si="37"/>
        <v>0</v>
      </c>
      <c r="AA49" s="235">
        <f t="shared" si="37"/>
        <v>0</v>
      </c>
      <c r="AB49" s="235">
        <f t="shared" si="37"/>
        <v>0</v>
      </c>
      <c r="AC49" s="235">
        <f t="shared" si="37"/>
        <v>0</v>
      </c>
      <c r="AD49" s="235">
        <f t="shared" si="37"/>
        <v>0</v>
      </c>
      <c r="AE49" s="235">
        <f t="shared" si="37"/>
        <v>0</v>
      </c>
      <c r="AF49" s="235">
        <f t="shared" si="37"/>
        <v>0</v>
      </c>
      <c r="AG49" s="235">
        <f t="shared" si="37"/>
        <v>0</v>
      </c>
      <c r="AH49" s="235">
        <f t="shared" si="37"/>
        <v>0</v>
      </c>
      <c r="AI49" s="235">
        <f t="shared" si="37"/>
        <v>0</v>
      </c>
      <c r="AJ49" s="235">
        <f t="shared" si="37"/>
        <v>0</v>
      </c>
      <c r="AK49" s="235">
        <f t="shared" si="37"/>
        <v>0</v>
      </c>
      <c r="AL49" s="235">
        <f t="shared" si="37"/>
        <v>0</v>
      </c>
      <c r="AM49" s="235">
        <f t="shared" si="37"/>
        <v>0</v>
      </c>
      <c r="AN49" s="235">
        <f t="shared" si="37"/>
        <v>0</v>
      </c>
      <c r="AO49" s="235">
        <f t="shared" si="37"/>
        <v>0</v>
      </c>
      <c r="AP49" s="235">
        <f t="shared" si="37"/>
        <v>0</v>
      </c>
      <c r="AQ49" s="235">
        <f t="shared" si="37"/>
        <v>0</v>
      </c>
      <c r="AR49" s="235">
        <f t="shared" si="37"/>
        <v>0</v>
      </c>
      <c r="AS49" s="235">
        <f t="shared" si="37"/>
        <v>0</v>
      </c>
      <c r="AT49" s="235">
        <f t="shared" si="37"/>
        <v>0</v>
      </c>
    </row>
    <row r="50" spans="2:46" x14ac:dyDescent="0.3">
      <c r="D50" s="235" t="str">
        <f xml:space="preserve"> D$40</f>
        <v>Avoided road damage benefit</v>
      </c>
      <c r="E50" s="311"/>
      <c r="F50" s="235">
        <f t="shared" ref="F50:AT50" si="38" xml:space="preserve"> F$40</f>
        <v>0</v>
      </c>
      <c r="G50" s="235" t="str">
        <f t="shared" si="38"/>
        <v>IDR</v>
      </c>
      <c r="H50" s="235">
        <f t="shared" si="38"/>
        <v>107999997118.92783</v>
      </c>
      <c r="I50" s="235">
        <f t="shared" si="38"/>
        <v>0</v>
      </c>
      <c r="J50" s="235">
        <f t="shared" si="38"/>
        <v>0</v>
      </c>
      <c r="K50" s="235">
        <f t="shared" si="38"/>
        <v>0</v>
      </c>
      <c r="L50" s="235">
        <f t="shared" si="38"/>
        <v>0</v>
      </c>
      <c r="M50" s="235">
        <f t="shared" si="38"/>
        <v>0</v>
      </c>
      <c r="N50" s="235">
        <f t="shared" si="38"/>
        <v>0</v>
      </c>
      <c r="O50" s="235">
        <f t="shared" si="38"/>
        <v>0</v>
      </c>
      <c r="P50" s="235">
        <f t="shared" si="38"/>
        <v>0</v>
      </c>
      <c r="Q50" s="235">
        <f t="shared" si="38"/>
        <v>0</v>
      </c>
      <c r="R50" s="235">
        <f t="shared" si="38"/>
        <v>0</v>
      </c>
      <c r="S50" s="235">
        <f t="shared" si="38"/>
        <v>0</v>
      </c>
      <c r="T50" s="235">
        <f t="shared" si="38"/>
        <v>5999999839.9404373</v>
      </c>
      <c r="U50" s="235">
        <f t="shared" si="38"/>
        <v>11999999679.880875</v>
      </c>
      <c r="V50" s="235">
        <f t="shared" si="38"/>
        <v>5999999839.9404373</v>
      </c>
      <c r="W50" s="235">
        <f t="shared" si="38"/>
        <v>5999999839.9404373</v>
      </c>
      <c r="X50" s="235">
        <f t="shared" si="38"/>
        <v>5999999839.9404373</v>
      </c>
      <c r="Y50" s="235">
        <f t="shared" si="38"/>
        <v>5999999839.9404373</v>
      </c>
      <c r="Z50" s="235">
        <f t="shared" si="38"/>
        <v>0</v>
      </c>
      <c r="AA50" s="235">
        <f t="shared" si="38"/>
        <v>5999999839.9404373</v>
      </c>
      <c r="AB50" s="235">
        <f t="shared" si="38"/>
        <v>5999999839.9404373</v>
      </c>
      <c r="AC50" s="235">
        <f t="shared" si="38"/>
        <v>0</v>
      </c>
      <c r="AD50" s="235">
        <f t="shared" si="38"/>
        <v>5999999839.9404373</v>
      </c>
      <c r="AE50" s="235">
        <f t="shared" si="38"/>
        <v>11999999679.880875</v>
      </c>
      <c r="AF50" s="235">
        <f t="shared" si="38"/>
        <v>0</v>
      </c>
      <c r="AG50" s="235">
        <f t="shared" si="38"/>
        <v>5999999839.9404373</v>
      </c>
      <c r="AH50" s="235">
        <f t="shared" si="38"/>
        <v>0</v>
      </c>
      <c r="AI50" s="235">
        <f t="shared" si="38"/>
        <v>5999999839.9404373</v>
      </c>
      <c r="AJ50" s="235">
        <f t="shared" si="38"/>
        <v>0</v>
      </c>
      <c r="AK50" s="235">
        <f t="shared" si="38"/>
        <v>5999999839.9404373</v>
      </c>
      <c r="AL50" s="235">
        <f t="shared" si="38"/>
        <v>5999999839.9404373</v>
      </c>
      <c r="AM50" s="235">
        <f t="shared" si="38"/>
        <v>5999999839.9404373</v>
      </c>
      <c r="AN50" s="235">
        <f t="shared" si="38"/>
        <v>0</v>
      </c>
      <c r="AO50" s="235">
        <f t="shared" si="38"/>
        <v>0</v>
      </c>
      <c r="AP50" s="235">
        <f t="shared" si="38"/>
        <v>0</v>
      </c>
      <c r="AQ50" s="235">
        <f t="shared" si="38"/>
        <v>5999999839.9404373</v>
      </c>
      <c r="AR50" s="235">
        <f t="shared" si="38"/>
        <v>0</v>
      </c>
      <c r="AS50" s="235">
        <f t="shared" si="38"/>
        <v>0</v>
      </c>
      <c r="AT50" s="235">
        <f t="shared" si="38"/>
        <v>0</v>
      </c>
    </row>
    <row r="51" spans="2:46" x14ac:dyDescent="0.3">
      <c r="D51" s="39" t="s">
        <v>306</v>
      </c>
      <c r="E51" s="312"/>
      <c r="F51" s="40"/>
      <c r="G51" s="40" t="s">
        <v>388</v>
      </c>
      <c r="H51" s="40">
        <f xml:space="preserve"> SUM(J51:AT51)</f>
        <v>-203390710081.07227</v>
      </c>
      <c r="I51" s="40"/>
      <c r="J51" s="39">
        <f t="shared" ref="J51:AN51" si="39">SUM(J49:J50)</f>
        <v>0</v>
      </c>
      <c r="K51" s="39">
        <f t="shared" si="39"/>
        <v>0</v>
      </c>
      <c r="L51" s="39">
        <f t="shared" si="39"/>
        <v>0</v>
      </c>
      <c r="M51" s="39">
        <f t="shared" si="39"/>
        <v>0</v>
      </c>
      <c r="N51" s="39">
        <f t="shared" si="39"/>
        <v>0</v>
      </c>
      <c r="O51" s="39">
        <f t="shared" si="39"/>
        <v>0</v>
      </c>
      <c r="P51" s="39">
        <f t="shared" si="39"/>
        <v>0</v>
      </c>
      <c r="Q51" s="39">
        <f t="shared" si="39"/>
        <v>0</v>
      </c>
      <c r="R51" s="39">
        <f t="shared" si="39"/>
        <v>0</v>
      </c>
      <c r="S51" s="39">
        <f t="shared" si="39"/>
        <v>0</v>
      </c>
      <c r="T51" s="39">
        <f t="shared" si="39"/>
        <v>-305390707360.05957</v>
      </c>
      <c r="U51" s="39">
        <f t="shared" si="39"/>
        <v>11999999679.880875</v>
      </c>
      <c r="V51" s="39">
        <f t="shared" si="39"/>
        <v>5999999839.9404373</v>
      </c>
      <c r="W51" s="39">
        <f t="shared" si="39"/>
        <v>5999999839.9404373</v>
      </c>
      <c r="X51" s="39">
        <f t="shared" si="39"/>
        <v>5999999839.9404373</v>
      </c>
      <c r="Y51" s="39">
        <f t="shared" si="39"/>
        <v>5999999839.9404373</v>
      </c>
      <c r="Z51" s="39">
        <f t="shared" si="39"/>
        <v>0</v>
      </c>
      <c r="AA51" s="39">
        <f t="shared" si="39"/>
        <v>5999999839.9404373</v>
      </c>
      <c r="AB51" s="39">
        <f t="shared" si="39"/>
        <v>5999999839.9404373</v>
      </c>
      <c r="AC51" s="39">
        <f t="shared" si="39"/>
        <v>0</v>
      </c>
      <c r="AD51" s="39">
        <f t="shared" si="39"/>
        <v>5999999839.9404373</v>
      </c>
      <c r="AE51" s="39">
        <f t="shared" si="39"/>
        <v>11999999679.880875</v>
      </c>
      <c r="AF51" s="39">
        <f t="shared" si="39"/>
        <v>0</v>
      </c>
      <c r="AG51" s="39">
        <f t="shared" si="39"/>
        <v>5999999839.9404373</v>
      </c>
      <c r="AH51" s="39">
        <f t="shared" si="39"/>
        <v>0</v>
      </c>
      <c r="AI51" s="39">
        <f t="shared" si="39"/>
        <v>5999999839.9404373</v>
      </c>
      <c r="AJ51" s="39">
        <f t="shared" si="39"/>
        <v>0</v>
      </c>
      <c r="AK51" s="39">
        <f t="shared" si="39"/>
        <v>5999999839.9404373</v>
      </c>
      <c r="AL51" s="39">
        <f t="shared" si="39"/>
        <v>5999999839.9404373</v>
      </c>
      <c r="AM51" s="39">
        <f t="shared" si="39"/>
        <v>5999999839.9404373</v>
      </c>
      <c r="AN51" s="39">
        <f t="shared" si="39"/>
        <v>0</v>
      </c>
      <c r="AO51" s="39">
        <f t="shared" ref="AO51:AT51" si="40">SUM(AO49:AO50)</f>
        <v>0</v>
      </c>
      <c r="AP51" s="39">
        <f t="shared" si="40"/>
        <v>0</v>
      </c>
      <c r="AQ51" s="39">
        <f t="shared" si="40"/>
        <v>5999999839.9404373</v>
      </c>
      <c r="AR51" s="39">
        <f t="shared" si="40"/>
        <v>0</v>
      </c>
      <c r="AS51" s="39">
        <f t="shared" si="40"/>
        <v>0</v>
      </c>
      <c r="AT51" s="39">
        <f t="shared" si="40"/>
        <v>0</v>
      </c>
    </row>
    <row r="52" spans="2:46" ht="5.0999999999999996" customHeight="1" x14ac:dyDescent="0.3">
      <c r="Q52" s="4"/>
    </row>
    <row r="53" spans="2:46" s="9" customFormat="1" x14ac:dyDescent="0.3">
      <c r="B53" s="15"/>
      <c r="C53" s="172"/>
      <c r="D53" s="236" t="str">
        <f t="shared" ref="D53:AT53" si="41" xml:space="preserve"> D$46</f>
        <v>Non-road benefits</v>
      </c>
      <c r="E53" s="313"/>
      <c r="F53" s="236">
        <f t="shared" si="41"/>
        <v>0</v>
      </c>
      <c r="G53" s="236" t="str">
        <f t="shared" si="41"/>
        <v>IDR</v>
      </c>
      <c r="H53" s="236">
        <f xml:space="preserve"> H$46</f>
        <v>1774603356665.8196</v>
      </c>
      <c r="I53" s="236">
        <f t="shared" si="41"/>
        <v>0</v>
      </c>
      <c r="J53" s="236">
        <f t="shared" si="41"/>
        <v>0</v>
      </c>
      <c r="K53" s="236">
        <f t="shared" si="41"/>
        <v>0</v>
      </c>
      <c r="L53" s="236">
        <f t="shared" si="41"/>
        <v>0</v>
      </c>
      <c r="M53" s="236">
        <f t="shared" si="41"/>
        <v>0</v>
      </c>
      <c r="N53" s="236">
        <f t="shared" si="41"/>
        <v>0</v>
      </c>
      <c r="O53" s="236">
        <f t="shared" si="41"/>
        <v>0</v>
      </c>
      <c r="P53" s="236">
        <f t="shared" si="41"/>
        <v>0</v>
      </c>
      <c r="Q53" s="236">
        <f t="shared" si="41"/>
        <v>0</v>
      </c>
      <c r="R53" s="236">
        <f t="shared" si="41"/>
        <v>0</v>
      </c>
      <c r="S53" s="236">
        <f t="shared" si="41"/>
        <v>0</v>
      </c>
      <c r="T53" s="236">
        <f t="shared" si="41"/>
        <v>98589075370.323318</v>
      </c>
      <c r="U53" s="236">
        <f t="shared" si="41"/>
        <v>197178150740.64664</v>
      </c>
      <c r="V53" s="236">
        <f t="shared" si="41"/>
        <v>98589075370.323318</v>
      </c>
      <c r="W53" s="236">
        <f t="shared" si="41"/>
        <v>98589075370.323318</v>
      </c>
      <c r="X53" s="236">
        <f t="shared" si="41"/>
        <v>98589075370.323318</v>
      </c>
      <c r="Y53" s="236">
        <f t="shared" si="41"/>
        <v>98589075370.323318</v>
      </c>
      <c r="Z53" s="236">
        <f t="shared" si="41"/>
        <v>0</v>
      </c>
      <c r="AA53" s="236">
        <f t="shared" si="41"/>
        <v>98589075370.323318</v>
      </c>
      <c r="AB53" s="236">
        <f t="shared" si="41"/>
        <v>98589075370.323318</v>
      </c>
      <c r="AC53" s="236">
        <f t="shared" si="41"/>
        <v>0</v>
      </c>
      <c r="AD53" s="236">
        <f t="shared" si="41"/>
        <v>98589075370.323318</v>
      </c>
      <c r="AE53" s="236">
        <f t="shared" si="41"/>
        <v>197178150740.64664</v>
      </c>
      <c r="AF53" s="236">
        <f t="shared" si="41"/>
        <v>0</v>
      </c>
      <c r="AG53" s="236">
        <f t="shared" si="41"/>
        <v>98589075370.323318</v>
      </c>
      <c r="AH53" s="236">
        <f t="shared" si="41"/>
        <v>0</v>
      </c>
      <c r="AI53" s="236">
        <f t="shared" si="41"/>
        <v>98589075370.323318</v>
      </c>
      <c r="AJ53" s="236">
        <f t="shared" si="41"/>
        <v>0</v>
      </c>
      <c r="AK53" s="236">
        <f t="shared" si="41"/>
        <v>98589075370.323318</v>
      </c>
      <c r="AL53" s="236">
        <f t="shared" si="41"/>
        <v>98589075370.323318</v>
      </c>
      <c r="AM53" s="236">
        <f t="shared" si="41"/>
        <v>98589075370.323318</v>
      </c>
      <c r="AN53" s="236">
        <f t="shared" si="41"/>
        <v>0</v>
      </c>
      <c r="AO53" s="236">
        <f t="shared" si="41"/>
        <v>0</v>
      </c>
      <c r="AP53" s="236">
        <f t="shared" si="41"/>
        <v>0</v>
      </c>
      <c r="AQ53" s="236">
        <f t="shared" si="41"/>
        <v>98589075370.323318</v>
      </c>
      <c r="AR53" s="236">
        <f t="shared" si="41"/>
        <v>0</v>
      </c>
      <c r="AS53" s="236">
        <f t="shared" si="41"/>
        <v>0</v>
      </c>
      <c r="AT53" s="236">
        <f t="shared" si="41"/>
        <v>0</v>
      </c>
    </row>
    <row r="54" spans="2:46" x14ac:dyDescent="0.3">
      <c r="D54" s="39" t="s">
        <v>307</v>
      </c>
      <c r="E54" s="312"/>
      <c r="F54" s="40"/>
      <c r="G54" s="40" t="s">
        <v>388</v>
      </c>
      <c r="H54" s="40">
        <f xml:space="preserve"> SUM(J54:AT54)</f>
        <v>1571212646584.7476</v>
      </c>
      <c r="I54" s="40"/>
      <c r="J54" s="39">
        <f xml:space="preserve"> J51 + J53</f>
        <v>0</v>
      </c>
      <c r="K54" s="39">
        <f t="shared" ref="K54:AN54" si="42" xml:space="preserve"> K51 + K53</f>
        <v>0</v>
      </c>
      <c r="L54" s="39">
        <f t="shared" si="42"/>
        <v>0</v>
      </c>
      <c r="M54" s="39">
        <f t="shared" si="42"/>
        <v>0</v>
      </c>
      <c r="N54" s="39">
        <f t="shared" si="42"/>
        <v>0</v>
      </c>
      <c r="O54" s="39">
        <f t="shared" si="42"/>
        <v>0</v>
      </c>
      <c r="P54" s="39">
        <f t="shared" si="42"/>
        <v>0</v>
      </c>
      <c r="Q54" s="39">
        <f t="shared" si="42"/>
        <v>0</v>
      </c>
      <c r="R54" s="39">
        <f t="shared" si="42"/>
        <v>0</v>
      </c>
      <c r="S54" s="39">
        <f t="shared" si="42"/>
        <v>0</v>
      </c>
      <c r="T54" s="39">
        <f t="shared" si="42"/>
        <v>-206801631989.73627</v>
      </c>
      <c r="U54" s="39">
        <f t="shared" si="42"/>
        <v>209178150420.52753</v>
      </c>
      <c r="V54" s="39">
        <f t="shared" si="42"/>
        <v>104589075210.26376</v>
      </c>
      <c r="W54" s="39">
        <f t="shared" si="42"/>
        <v>104589075210.26376</v>
      </c>
      <c r="X54" s="39">
        <f t="shared" si="42"/>
        <v>104589075210.26376</v>
      </c>
      <c r="Y54" s="39">
        <f t="shared" si="42"/>
        <v>104589075210.26376</v>
      </c>
      <c r="Z54" s="39">
        <f t="shared" si="42"/>
        <v>0</v>
      </c>
      <c r="AA54" s="39">
        <f t="shared" si="42"/>
        <v>104589075210.26376</v>
      </c>
      <c r="AB54" s="39">
        <f t="shared" si="42"/>
        <v>104589075210.26376</v>
      </c>
      <c r="AC54" s="39">
        <f t="shared" si="42"/>
        <v>0</v>
      </c>
      <c r="AD54" s="39">
        <f t="shared" si="42"/>
        <v>104589075210.26376</v>
      </c>
      <c r="AE54" s="39">
        <f t="shared" si="42"/>
        <v>209178150420.52753</v>
      </c>
      <c r="AF54" s="39">
        <f t="shared" si="42"/>
        <v>0</v>
      </c>
      <c r="AG54" s="39">
        <f t="shared" si="42"/>
        <v>104589075210.26376</v>
      </c>
      <c r="AH54" s="39">
        <f t="shared" si="42"/>
        <v>0</v>
      </c>
      <c r="AI54" s="39">
        <f t="shared" si="42"/>
        <v>104589075210.26376</v>
      </c>
      <c r="AJ54" s="39">
        <f t="shared" si="42"/>
        <v>0</v>
      </c>
      <c r="AK54" s="39">
        <f t="shared" si="42"/>
        <v>104589075210.26376</v>
      </c>
      <c r="AL54" s="39">
        <f t="shared" si="42"/>
        <v>104589075210.26376</v>
      </c>
      <c r="AM54" s="39">
        <f t="shared" si="42"/>
        <v>104589075210.26376</v>
      </c>
      <c r="AN54" s="39">
        <f t="shared" si="42"/>
        <v>0</v>
      </c>
      <c r="AO54" s="39">
        <f t="shared" ref="AO54:AT54" si="43" xml:space="preserve"> AO51 + AO53</f>
        <v>0</v>
      </c>
      <c r="AP54" s="39">
        <f t="shared" si="43"/>
        <v>0</v>
      </c>
      <c r="AQ54" s="39">
        <f t="shared" si="43"/>
        <v>104589075210.26376</v>
      </c>
      <c r="AR54" s="39">
        <f t="shared" si="43"/>
        <v>0</v>
      </c>
      <c r="AS54" s="39">
        <f t="shared" si="43"/>
        <v>0</v>
      </c>
      <c r="AT54" s="39">
        <f t="shared" si="43"/>
        <v>0</v>
      </c>
    </row>
    <row r="56" spans="2:46" x14ac:dyDescent="0.3">
      <c r="B56" s="15" t="s">
        <v>308</v>
      </c>
      <c r="F56"/>
      <c r="G56"/>
      <c r="H56"/>
      <c r="I56"/>
    </row>
    <row r="57" spans="2:46" s="9" customFormat="1" x14ac:dyDescent="0.3">
      <c r="B57" s="21"/>
      <c r="C57" s="42"/>
      <c r="D57" s="8" t="str">
        <f xml:space="preserve"> D$40</f>
        <v>Avoided road damage benefit</v>
      </c>
      <c r="E57" s="314"/>
      <c r="F57" s="8">
        <f t="shared" ref="F57:H57" si="44" xml:space="preserve"> F$40</f>
        <v>0</v>
      </c>
      <c r="G57" s="8" t="str">
        <f t="shared" si="44"/>
        <v>IDR</v>
      </c>
      <c r="H57" s="8">
        <f t="shared" si="44"/>
        <v>107999997118.92783</v>
      </c>
      <c r="I57" s="8"/>
      <c r="J57" s="8"/>
    </row>
    <row r="58" spans="2:46" s="9" customFormat="1" x14ac:dyDescent="0.3">
      <c r="B58" s="21"/>
      <c r="C58" s="42"/>
      <c r="D58" s="8" t="str">
        <f xml:space="preserve"> D$31</f>
        <v>Betterment cost</v>
      </c>
      <c r="E58" s="314"/>
      <c r="F58" s="8">
        <f xml:space="preserve"> F$31</f>
        <v>0</v>
      </c>
      <c r="G58" s="8" t="str">
        <f xml:space="preserve"> G$31</f>
        <v>IDR</v>
      </c>
      <c r="H58" s="8">
        <f xml:space="preserve"> H$31</f>
        <v>-311390707200</v>
      </c>
      <c r="I58" s="8"/>
      <c r="J58" s="8"/>
    </row>
    <row r="59" spans="2:46" x14ac:dyDescent="0.3">
      <c r="B59" s="98"/>
      <c r="C59" s="199"/>
      <c r="D59" s="100" t="s">
        <v>309</v>
      </c>
      <c r="E59" s="314"/>
      <c r="F59" s="99">
        <f xml:space="preserve"> H57 / ( H58 * -1)</f>
        <v>0.34683115013307575</v>
      </c>
      <c r="G59" s="100" t="s">
        <v>310</v>
      </c>
      <c r="H59" s="99"/>
      <c r="I59" s="99"/>
      <c r="J59" s="99"/>
    </row>
    <row r="60" spans="2:46" x14ac:dyDescent="0.3">
      <c r="B60" s="21"/>
      <c r="C60" s="42"/>
      <c r="D60" s="72"/>
      <c r="E60" s="314"/>
      <c r="F60" s="8"/>
      <c r="G60" s="8"/>
      <c r="H60" s="8"/>
      <c r="I60" s="8"/>
      <c r="J60" s="8"/>
    </row>
    <row r="61" spans="2:46" s="9" customFormat="1" x14ac:dyDescent="0.3">
      <c r="B61" s="21"/>
      <c r="C61" s="42"/>
      <c r="D61" s="8" t="str">
        <f xml:space="preserve"> D$40</f>
        <v>Avoided road damage benefit</v>
      </c>
      <c r="E61" s="314"/>
      <c r="F61" s="8">
        <f t="shared" ref="F61:H61" si="45" xml:space="preserve"> F$40</f>
        <v>0</v>
      </c>
      <c r="G61" s="8" t="str">
        <f t="shared" si="45"/>
        <v>IDR</v>
      </c>
      <c r="H61" s="8">
        <f t="shared" si="45"/>
        <v>107999997118.92783</v>
      </c>
      <c r="I61" s="8"/>
      <c r="J61" s="8"/>
    </row>
    <row r="62" spans="2:46" s="9" customFormat="1" x14ac:dyDescent="0.3">
      <c r="B62" s="21"/>
      <c r="C62" s="42"/>
      <c r="D62" s="8" t="str">
        <f xml:space="preserve"> D$46</f>
        <v>Non-road benefits</v>
      </c>
      <c r="E62" s="314"/>
      <c r="F62" s="8">
        <f xml:space="preserve"> F$46</f>
        <v>0</v>
      </c>
      <c r="G62" s="8" t="str">
        <f xml:space="preserve"> G$46</f>
        <v>IDR</v>
      </c>
      <c r="H62" s="8">
        <f xml:space="preserve"> H$46</f>
        <v>1774603356665.8196</v>
      </c>
      <c r="I62" s="8"/>
      <c r="J62" s="8"/>
    </row>
    <row r="63" spans="2:46" s="9" customFormat="1" x14ac:dyDescent="0.3">
      <c r="B63" s="21"/>
      <c r="C63" s="42"/>
      <c r="D63" s="237" t="s">
        <v>311</v>
      </c>
      <c r="E63" s="315"/>
      <c r="F63" s="238"/>
      <c r="G63" s="237" t="s">
        <v>388</v>
      </c>
      <c r="H63" s="237">
        <f>SUM(H61:H62)</f>
        <v>1882603353784.7473</v>
      </c>
      <c r="I63" s="8"/>
      <c r="J63" s="8"/>
    </row>
    <row r="64" spans="2:46" s="9" customFormat="1" ht="3.9" customHeight="1" x14ac:dyDescent="0.3">
      <c r="B64" s="21"/>
      <c r="C64" s="42"/>
      <c r="D64" s="8"/>
      <c r="E64" s="314"/>
      <c r="F64" s="8"/>
      <c r="G64" s="8"/>
      <c r="H64" s="8"/>
      <c r="I64" s="8"/>
      <c r="J64" s="8"/>
    </row>
    <row r="65" spans="2:46" s="9" customFormat="1" x14ac:dyDescent="0.3">
      <c r="B65" s="21"/>
      <c r="C65" s="42"/>
      <c r="D65" s="8" t="str">
        <f xml:space="preserve"> D$31</f>
        <v>Betterment cost</v>
      </c>
      <c r="E65" s="314"/>
      <c r="F65" s="8">
        <f xml:space="preserve"> F$31</f>
        <v>0</v>
      </c>
      <c r="G65" s="8" t="str">
        <f xml:space="preserve"> G$31</f>
        <v>IDR</v>
      </c>
      <c r="H65" s="8">
        <f xml:space="preserve"> H$31</f>
        <v>-311390707200</v>
      </c>
      <c r="I65" s="8"/>
      <c r="J65" s="8"/>
    </row>
    <row r="66" spans="2:46" x14ac:dyDescent="0.3">
      <c r="B66" s="98"/>
      <c r="C66" s="199"/>
      <c r="D66" s="100" t="s">
        <v>312</v>
      </c>
      <c r="E66" s="314"/>
      <c r="F66" s="99">
        <f xml:space="preserve"> H63 / (H65 * -1)</f>
        <v>6.045791702369554</v>
      </c>
      <c r="G66" s="100" t="s">
        <v>310</v>
      </c>
      <c r="H66" s="99"/>
      <c r="I66" s="99"/>
      <c r="J66" s="99"/>
    </row>
    <row r="67" spans="2:46" x14ac:dyDescent="0.3">
      <c r="B67" s="21"/>
      <c r="C67" s="42"/>
      <c r="D67" s="72"/>
      <c r="E67" s="314"/>
      <c r="F67" s="8"/>
      <c r="G67" s="8"/>
      <c r="H67" s="8"/>
      <c r="I67" s="8"/>
      <c r="J67" s="8"/>
    </row>
    <row r="68" spans="2:46" x14ac:dyDescent="0.3">
      <c r="B68" s="67" t="s">
        <v>313</v>
      </c>
      <c r="D68" s="69"/>
      <c r="F68" s="69"/>
      <c r="G68" s="69"/>
      <c r="H68" s="69"/>
      <c r="I68" s="69"/>
      <c r="J68" s="69"/>
    </row>
    <row r="69" spans="2:46" s="9" customFormat="1" x14ac:dyDescent="0.3">
      <c r="B69" s="1"/>
      <c r="C69" s="173"/>
      <c r="D69" s="9" t="str">
        <f xml:space="preserve"> D$51</f>
        <v>Net benefits excl. non-road benefits</v>
      </c>
      <c r="E69" s="16"/>
      <c r="F69" s="9">
        <f t="shared" ref="F69:AT69" si="46" xml:space="preserve"> F$51</f>
        <v>0</v>
      </c>
      <c r="G69" s="9" t="str">
        <f t="shared" si="46"/>
        <v>IDR</v>
      </c>
      <c r="H69" s="9">
        <f t="shared" si="46"/>
        <v>-203390710081.07227</v>
      </c>
      <c r="I69" s="9">
        <f t="shared" si="46"/>
        <v>0</v>
      </c>
      <c r="J69" s="9">
        <f t="shared" si="46"/>
        <v>0</v>
      </c>
      <c r="K69" s="9">
        <f t="shared" si="46"/>
        <v>0</v>
      </c>
      <c r="L69" s="9">
        <f t="shared" si="46"/>
        <v>0</v>
      </c>
      <c r="M69" s="9">
        <f t="shared" si="46"/>
        <v>0</v>
      </c>
      <c r="N69" s="9">
        <f t="shared" si="46"/>
        <v>0</v>
      </c>
      <c r="O69" s="9">
        <f t="shared" si="46"/>
        <v>0</v>
      </c>
      <c r="P69" s="9">
        <f t="shared" si="46"/>
        <v>0</v>
      </c>
      <c r="Q69" s="9">
        <f t="shared" si="46"/>
        <v>0</v>
      </c>
      <c r="R69" s="9">
        <f t="shared" si="46"/>
        <v>0</v>
      </c>
      <c r="S69" s="9">
        <f t="shared" si="46"/>
        <v>0</v>
      </c>
      <c r="T69" s="9">
        <f t="shared" si="46"/>
        <v>-305390707360.05957</v>
      </c>
      <c r="U69" s="9">
        <f t="shared" si="46"/>
        <v>11999999679.880875</v>
      </c>
      <c r="V69" s="9">
        <f t="shared" si="46"/>
        <v>5999999839.9404373</v>
      </c>
      <c r="W69" s="9">
        <f t="shared" si="46"/>
        <v>5999999839.9404373</v>
      </c>
      <c r="X69" s="9">
        <f t="shared" si="46"/>
        <v>5999999839.9404373</v>
      </c>
      <c r="Y69" s="9">
        <f t="shared" si="46"/>
        <v>5999999839.9404373</v>
      </c>
      <c r="Z69" s="9">
        <f t="shared" si="46"/>
        <v>0</v>
      </c>
      <c r="AA69" s="9">
        <f t="shared" si="46"/>
        <v>5999999839.9404373</v>
      </c>
      <c r="AB69" s="9">
        <f t="shared" si="46"/>
        <v>5999999839.9404373</v>
      </c>
      <c r="AC69" s="9">
        <f t="shared" si="46"/>
        <v>0</v>
      </c>
      <c r="AD69" s="9">
        <f t="shared" si="46"/>
        <v>5999999839.9404373</v>
      </c>
      <c r="AE69" s="9">
        <f t="shared" si="46"/>
        <v>11999999679.880875</v>
      </c>
      <c r="AF69" s="9">
        <f t="shared" si="46"/>
        <v>0</v>
      </c>
      <c r="AG69" s="9">
        <f t="shared" si="46"/>
        <v>5999999839.9404373</v>
      </c>
      <c r="AH69" s="9">
        <f t="shared" si="46"/>
        <v>0</v>
      </c>
      <c r="AI69" s="9">
        <f t="shared" si="46"/>
        <v>5999999839.9404373</v>
      </c>
      <c r="AJ69" s="9">
        <f t="shared" si="46"/>
        <v>0</v>
      </c>
      <c r="AK69" s="9">
        <f t="shared" si="46"/>
        <v>5999999839.9404373</v>
      </c>
      <c r="AL69" s="9">
        <f t="shared" si="46"/>
        <v>5999999839.9404373</v>
      </c>
      <c r="AM69" s="9">
        <f t="shared" si="46"/>
        <v>5999999839.9404373</v>
      </c>
      <c r="AN69" s="9">
        <f t="shared" si="46"/>
        <v>0</v>
      </c>
      <c r="AO69" s="9">
        <f t="shared" si="46"/>
        <v>0</v>
      </c>
      <c r="AP69" s="9">
        <f t="shared" si="46"/>
        <v>0</v>
      </c>
      <c r="AQ69" s="9">
        <f t="shared" si="46"/>
        <v>5999999839.9404373</v>
      </c>
      <c r="AR69" s="9">
        <f t="shared" si="46"/>
        <v>0</v>
      </c>
      <c r="AS69" s="9">
        <f t="shared" si="46"/>
        <v>0</v>
      </c>
      <c r="AT69" s="9">
        <f t="shared" si="46"/>
        <v>0</v>
      </c>
    </row>
    <row r="70" spans="2:46" s="114" customFormat="1" x14ac:dyDescent="0.3">
      <c r="B70" s="113"/>
      <c r="C70" s="200"/>
      <c r="D70" s="100" t="s">
        <v>314</v>
      </c>
      <c r="E70" s="314"/>
      <c r="F70" s="113" t="e">
        <f xml:space="preserve"> IRR(J69:AT69)</f>
        <v>#NUM!</v>
      </c>
      <c r="G70" s="239" t="s">
        <v>315</v>
      </c>
      <c r="H70" s="103"/>
      <c r="I70" s="103"/>
      <c r="J70" s="103"/>
    </row>
    <row r="71" spans="2:46" x14ac:dyDescent="0.3">
      <c r="B71" s="67"/>
      <c r="C71" s="187"/>
      <c r="D71" s="69"/>
      <c r="F71" s="69"/>
      <c r="G71" s="69"/>
      <c r="H71" s="69"/>
      <c r="I71" s="69"/>
      <c r="J71" s="69"/>
    </row>
    <row r="72" spans="2:46" s="9" customFormat="1" x14ac:dyDescent="0.3">
      <c r="B72" s="1"/>
      <c r="C72" s="173"/>
      <c r="D72" s="9" t="str">
        <f xml:space="preserve"> D$54</f>
        <v>Net benefits incl. non-road benefits</v>
      </c>
      <c r="E72" s="16"/>
      <c r="F72" s="9">
        <f t="shared" ref="F72:AT72" si="47" xml:space="preserve"> F$54</f>
        <v>0</v>
      </c>
      <c r="G72" s="9" t="str">
        <f t="shared" si="47"/>
        <v>IDR</v>
      </c>
      <c r="H72" s="9">
        <f t="shared" si="47"/>
        <v>1571212646584.7476</v>
      </c>
      <c r="I72" s="9">
        <f t="shared" si="47"/>
        <v>0</v>
      </c>
      <c r="J72" s="9">
        <f t="shared" si="47"/>
        <v>0</v>
      </c>
      <c r="K72" s="9">
        <f t="shared" si="47"/>
        <v>0</v>
      </c>
      <c r="L72" s="9">
        <f t="shared" si="47"/>
        <v>0</v>
      </c>
      <c r="M72" s="9">
        <f t="shared" si="47"/>
        <v>0</v>
      </c>
      <c r="N72" s="9">
        <f t="shared" si="47"/>
        <v>0</v>
      </c>
      <c r="O72" s="9">
        <f t="shared" si="47"/>
        <v>0</v>
      </c>
      <c r="P72" s="9">
        <f t="shared" si="47"/>
        <v>0</v>
      </c>
      <c r="Q72" s="9">
        <f t="shared" si="47"/>
        <v>0</v>
      </c>
      <c r="R72" s="9">
        <f t="shared" si="47"/>
        <v>0</v>
      </c>
      <c r="S72" s="9">
        <f t="shared" si="47"/>
        <v>0</v>
      </c>
      <c r="T72" s="9">
        <f t="shared" si="47"/>
        <v>-206801631989.73627</v>
      </c>
      <c r="U72" s="9">
        <f t="shared" si="47"/>
        <v>209178150420.52753</v>
      </c>
      <c r="V72" s="9">
        <f t="shared" si="47"/>
        <v>104589075210.26376</v>
      </c>
      <c r="W72" s="9">
        <f t="shared" si="47"/>
        <v>104589075210.26376</v>
      </c>
      <c r="X72" s="9">
        <f t="shared" si="47"/>
        <v>104589075210.26376</v>
      </c>
      <c r="Y72" s="9">
        <f t="shared" si="47"/>
        <v>104589075210.26376</v>
      </c>
      <c r="Z72" s="9">
        <f t="shared" si="47"/>
        <v>0</v>
      </c>
      <c r="AA72" s="9">
        <f t="shared" si="47"/>
        <v>104589075210.26376</v>
      </c>
      <c r="AB72" s="9">
        <f t="shared" si="47"/>
        <v>104589075210.26376</v>
      </c>
      <c r="AC72" s="9">
        <f t="shared" si="47"/>
        <v>0</v>
      </c>
      <c r="AD72" s="9">
        <f t="shared" si="47"/>
        <v>104589075210.26376</v>
      </c>
      <c r="AE72" s="9">
        <f t="shared" si="47"/>
        <v>209178150420.52753</v>
      </c>
      <c r="AF72" s="9">
        <f t="shared" si="47"/>
        <v>0</v>
      </c>
      <c r="AG72" s="9">
        <f t="shared" si="47"/>
        <v>104589075210.26376</v>
      </c>
      <c r="AH72" s="9">
        <f t="shared" si="47"/>
        <v>0</v>
      </c>
      <c r="AI72" s="9">
        <f t="shared" si="47"/>
        <v>104589075210.26376</v>
      </c>
      <c r="AJ72" s="9">
        <f t="shared" si="47"/>
        <v>0</v>
      </c>
      <c r="AK72" s="9">
        <f t="shared" si="47"/>
        <v>104589075210.26376</v>
      </c>
      <c r="AL72" s="9">
        <f t="shared" si="47"/>
        <v>104589075210.26376</v>
      </c>
      <c r="AM72" s="9">
        <f t="shared" si="47"/>
        <v>104589075210.26376</v>
      </c>
      <c r="AN72" s="9">
        <f t="shared" si="47"/>
        <v>0</v>
      </c>
      <c r="AO72" s="9">
        <f t="shared" si="47"/>
        <v>0</v>
      </c>
      <c r="AP72" s="9">
        <f t="shared" si="47"/>
        <v>0</v>
      </c>
      <c r="AQ72" s="9">
        <f t="shared" si="47"/>
        <v>104589075210.26376</v>
      </c>
      <c r="AR72" s="9">
        <f t="shared" si="47"/>
        <v>0</v>
      </c>
      <c r="AS72" s="9">
        <f t="shared" si="47"/>
        <v>0</v>
      </c>
      <c r="AT72" s="9">
        <f t="shared" si="47"/>
        <v>0</v>
      </c>
    </row>
    <row r="73" spans="2:46" s="114" customFormat="1" x14ac:dyDescent="0.3">
      <c r="B73" s="113"/>
      <c r="C73" s="200"/>
      <c r="D73" s="100" t="s">
        <v>316</v>
      </c>
      <c r="E73" s="314"/>
      <c r="F73" s="113">
        <f xml:space="preserve"> IRR(J72:AT72)</f>
        <v>0.69547641108877856</v>
      </c>
      <c r="G73" s="104" t="s">
        <v>315</v>
      </c>
      <c r="H73" s="103"/>
      <c r="I73" s="103"/>
      <c r="J73" s="103"/>
    </row>
    <row r="74" spans="2:46" x14ac:dyDescent="0.3">
      <c r="B74" s="67"/>
      <c r="C74" s="187"/>
      <c r="D74" s="69"/>
      <c r="F74" s="69"/>
      <c r="G74" s="69"/>
      <c r="H74" s="69"/>
      <c r="I74" s="69"/>
      <c r="J74" s="69"/>
    </row>
    <row r="75" spans="2:46" x14ac:dyDescent="0.3">
      <c r="B75" s="67" t="s">
        <v>317</v>
      </c>
      <c r="C75" s="187"/>
      <c r="D75" s="69"/>
      <c r="F75" s="69"/>
      <c r="G75" s="69"/>
      <c r="H75" s="69"/>
      <c r="I75" s="69"/>
      <c r="J75" s="69"/>
    </row>
    <row r="76" spans="2:46" x14ac:dyDescent="0.3">
      <c r="C76" s="173" t="s">
        <v>318</v>
      </c>
      <c r="F76"/>
      <c r="G76"/>
      <c r="H76"/>
      <c r="I76"/>
    </row>
    <row r="77" spans="2:46" s="4" customFormat="1" x14ac:dyDescent="0.3">
      <c r="B77" s="330"/>
      <c r="C77" s="331"/>
      <c r="D77" s="332" t="str">
        <f xml:space="preserve"> 'Key inputs &amp; outputs'!D$64</f>
        <v>PV discount date (date to which values are discounted)</v>
      </c>
      <c r="E77" s="205">
        <f xml:space="preserve"> 'Key inputs &amp; outputs'!E$64</f>
        <v>0</v>
      </c>
      <c r="F77" s="332">
        <f xml:space="preserve"> 'Key inputs &amp; outputs'!F$64</f>
        <v>45657</v>
      </c>
      <c r="G77" s="38" t="str">
        <f xml:space="preserve"> 'Key inputs &amp; outputs'!G$64</f>
        <v>date</v>
      </c>
      <c r="H77" s="333"/>
      <c r="I77" s="333"/>
      <c r="J77" s="333"/>
    </row>
    <row r="78" spans="2:46" s="327" customFormat="1" x14ac:dyDescent="0.3">
      <c r="B78" s="45"/>
      <c r="C78" s="186"/>
      <c r="D78" s="24" t="str">
        <f xml:space="preserve"> 'Key inputs &amp; outputs'!D$65</f>
        <v>Average days per year</v>
      </c>
      <c r="E78" s="205">
        <f xml:space="preserve"> 'Key inputs &amp; outputs'!E$65</f>
        <v>0</v>
      </c>
      <c r="F78" s="24">
        <f xml:space="preserve"> 'Key inputs &amp; outputs'!F$65</f>
        <v>365.25</v>
      </c>
      <c r="G78" s="24" t="str">
        <f xml:space="preserve"> 'Key inputs &amp; outputs'!G$65</f>
        <v>days</v>
      </c>
      <c r="H78" s="46"/>
      <c r="I78" s="46"/>
      <c r="J78" s="46"/>
    </row>
    <row r="79" spans="2:46" s="19" customFormat="1" x14ac:dyDescent="0.3">
      <c r="B79" s="21"/>
      <c r="C79" s="154"/>
      <c r="D79" s="108" t="str">
        <f xml:space="preserve"> D$2</f>
        <v>Modelling period ending</v>
      </c>
      <c r="E79" s="29"/>
      <c r="F79" s="108">
        <f t="shared" ref="F79:I79" si="48" xml:space="preserve"> F$2</f>
        <v>0</v>
      </c>
      <c r="G79" s="108">
        <f t="shared" si="48"/>
        <v>0</v>
      </c>
      <c r="H79" s="108">
        <f t="shared" si="48"/>
        <v>0</v>
      </c>
      <c r="I79" s="108">
        <f t="shared" si="48"/>
        <v>0</v>
      </c>
      <c r="J79" s="108">
        <f t="shared" ref="J79:AT79" si="49" xml:space="preserve"> J$2</f>
        <v>42004</v>
      </c>
      <c r="K79" s="108">
        <f t="shared" si="49"/>
        <v>42369</v>
      </c>
      <c r="L79" s="108">
        <f t="shared" si="49"/>
        <v>42735</v>
      </c>
      <c r="M79" s="108">
        <f t="shared" si="49"/>
        <v>43100</v>
      </c>
      <c r="N79" s="108">
        <f t="shared" si="49"/>
        <v>43465</v>
      </c>
      <c r="O79" s="108">
        <f t="shared" si="49"/>
        <v>43830</v>
      </c>
      <c r="P79" s="108">
        <f t="shared" si="49"/>
        <v>44196</v>
      </c>
      <c r="Q79" s="108">
        <f t="shared" si="49"/>
        <v>44561</v>
      </c>
      <c r="R79" s="108">
        <f t="shared" si="49"/>
        <v>44926</v>
      </c>
      <c r="S79" s="108">
        <f t="shared" si="49"/>
        <v>45291</v>
      </c>
      <c r="T79" s="108">
        <f t="shared" si="49"/>
        <v>45657</v>
      </c>
      <c r="U79" s="108">
        <f t="shared" si="49"/>
        <v>46022</v>
      </c>
      <c r="V79" s="108">
        <f t="shared" si="49"/>
        <v>46387</v>
      </c>
      <c r="W79" s="108">
        <f t="shared" si="49"/>
        <v>46752</v>
      </c>
      <c r="X79" s="108">
        <f t="shared" si="49"/>
        <v>47118</v>
      </c>
      <c r="Y79" s="108">
        <f t="shared" si="49"/>
        <v>47483</v>
      </c>
      <c r="Z79" s="108">
        <f t="shared" si="49"/>
        <v>47848</v>
      </c>
      <c r="AA79" s="108">
        <f t="shared" si="49"/>
        <v>48213</v>
      </c>
      <c r="AB79" s="108">
        <f t="shared" si="49"/>
        <v>48579</v>
      </c>
      <c r="AC79" s="108">
        <f t="shared" si="49"/>
        <v>48944</v>
      </c>
      <c r="AD79" s="108">
        <f t="shared" si="49"/>
        <v>49309</v>
      </c>
      <c r="AE79" s="108">
        <f t="shared" si="49"/>
        <v>49674</v>
      </c>
      <c r="AF79" s="108">
        <f t="shared" si="49"/>
        <v>50040</v>
      </c>
      <c r="AG79" s="108">
        <f t="shared" si="49"/>
        <v>50405</v>
      </c>
      <c r="AH79" s="108">
        <f t="shared" si="49"/>
        <v>50770</v>
      </c>
      <c r="AI79" s="108">
        <f t="shared" si="49"/>
        <v>51135</v>
      </c>
      <c r="AJ79" s="108">
        <f t="shared" si="49"/>
        <v>51501</v>
      </c>
      <c r="AK79" s="108">
        <f t="shared" si="49"/>
        <v>51866</v>
      </c>
      <c r="AL79" s="108">
        <f t="shared" si="49"/>
        <v>52231</v>
      </c>
      <c r="AM79" s="108">
        <f t="shared" si="49"/>
        <v>52596</v>
      </c>
      <c r="AN79" s="108">
        <f t="shared" si="49"/>
        <v>52962</v>
      </c>
      <c r="AO79" s="108">
        <f t="shared" si="49"/>
        <v>53327</v>
      </c>
      <c r="AP79" s="108">
        <f t="shared" si="49"/>
        <v>53692</v>
      </c>
      <c r="AQ79" s="108">
        <f t="shared" si="49"/>
        <v>54057</v>
      </c>
      <c r="AR79" s="108">
        <f t="shared" si="49"/>
        <v>54423</v>
      </c>
      <c r="AS79" s="108">
        <f t="shared" si="49"/>
        <v>54788</v>
      </c>
      <c r="AT79" s="108">
        <f t="shared" si="49"/>
        <v>55153</v>
      </c>
    </row>
    <row r="80" spans="2:46" s="70" customFormat="1" x14ac:dyDescent="0.3">
      <c r="B80" s="111"/>
      <c r="C80" s="174"/>
      <c r="D80" s="70" t="s">
        <v>319</v>
      </c>
      <c r="E80" s="16"/>
      <c r="G80" s="70" t="s">
        <v>141</v>
      </c>
      <c r="J80" s="70">
        <f t="shared" ref="J80:AN80" si="50" xml:space="preserve"> ROUND((J79 - $F77) / $F78, 2)</f>
        <v>-10</v>
      </c>
      <c r="K80" s="70">
        <f t="shared" si="50"/>
        <v>-9</v>
      </c>
      <c r="L80" s="70">
        <f t="shared" si="50"/>
        <v>-8</v>
      </c>
      <c r="M80" s="70">
        <f t="shared" si="50"/>
        <v>-7</v>
      </c>
      <c r="N80" s="70">
        <f t="shared" si="50"/>
        <v>-6</v>
      </c>
      <c r="O80" s="70">
        <f t="shared" si="50"/>
        <v>-5</v>
      </c>
      <c r="P80" s="70">
        <f t="shared" si="50"/>
        <v>-4</v>
      </c>
      <c r="Q80" s="70">
        <f t="shared" si="50"/>
        <v>-3</v>
      </c>
      <c r="R80" s="70">
        <f t="shared" si="50"/>
        <v>-2</v>
      </c>
      <c r="S80" s="70">
        <f t="shared" si="50"/>
        <v>-1</v>
      </c>
      <c r="T80" s="70">
        <f t="shared" si="50"/>
        <v>0</v>
      </c>
      <c r="U80" s="70">
        <f t="shared" si="50"/>
        <v>1</v>
      </c>
      <c r="V80" s="70">
        <f t="shared" si="50"/>
        <v>2</v>
      </c>
      <c r="W80" s="70">
        <f t="shared" si="50"/>
        <v>3</v>
      </c>
      <c r="X80" s="70">
        <f t="shared" si="50"/>
        <v>4</v>
      </c>
      <c r="Y80" s="70">
        <f t="shared" si="50"/>
        <v>5</v>
      </c>
      <c r="Z80" s="70">
        <f t="shared" si="50"/>
        <v>6</v>
      </c>
      <c r="AA80" s="70">
        <f t="shared" si="50"/>
        <v>7</v>
      </c>
      <c r="AB80" s="70">
        <f t="shared" si="50"/>
        <v>8</v>
      </c>
      <c r="AC80" s="70">
        <f t="shared" si="50"/>
        <v>9</v>
      </c>
      <c r="AD80" s="70">
        <f t="shared" si="50"/>
        <v>10</v>
      </c>
      <c r="AE80" s="70">
        <f t="shared" si="50"/>
        <v>11</v>
      </c>
      <c r="AF80" s="70">
        <f t="shared" si="50"/>
        <v>12</v>
      </c>
      <c r="AG80" s="70">
        <f t="shared" si="50"/>
        <v>13</v>
      </c>
      <c r="AH80" s="70">
        <f t="shared" si="50"/>
        <v>14</v>
      </c>
      <c r="AI80" s="70">
        <f t="shared" si="50"/>
        <v>15</v>
      </c>
      <c r="AJ80" s="70">
        <f t="shared" si="50"/>
        <v>16</v>
      </c>
      <c r="AK80" s="70">
        <f t="shared" si="50"/>
        <v>17</v>
      </c>
      <c r="AL80" s="70">
        <f t="shared" si="50"/>
        <v>18</v>
      </c>
      <c r="AM80" s="70">
        <f t="shared" si="50"/>
        <v>19</v>
      </c>
      <c r="AN80" s="70">
        <f t="shared" si="50"/>
        <v>20</v>
      </c>
      <c r="AO80" s="70">
        <f t="shared" ref="AO80:AT80" si="51" xml:space="preserve"> ROUND((AO79 - $F77) / $F78, 2)</f>
        <v>21</v>
      </c>
      <c r="AP80" s="70">
        <f t="shared" si="51"/>
        <v>22</v>
      </c>
      <c r="AQ80" s="70">
        <f t="shared" si="51"/>
        <v>23</v>
      </c>
      <c r="AR80" s="70">
        <f t="shared" si="51"/>
        <v>24</v>
      </c>
      <c r="AS80" s="70">
        <f t="shared" si="51"/>
        <v>25</v>
      </c>
      <c r="AT80" s="70">
        <f t="shared" si="51"/>
        <v>26</v>
      </c>
    </row>
    <row r="81" spans="1:46" ht="5.0999999999999996" customHeight="1" x14ac:dyDescent="0.3"/>
    <row r="82" spans="1:46" x14ac:dyDescent="0.3">
      <c r="B82" s="113"/>
      <c r="C82" s="200"/>
      <c r="D82" s="334" t="str">
        <f xml:space="preserve"> 'Key inputs &amp; outputs'!D$67</f>
        <v>PV discount rate - in uninflated (i.e., excluding inflation) terms</v>
      </c>
      <c r="E82" s="205">
        <f xml:space="preserve"> 'Key inputs &amp; outputs'!E$67</f>
        <v>0</v>
      </c>
      <c r="F82" s="334">
        <f xml:space="preserve"> 'Key inputs &amp; outputs'!F$67</f>
        <v>0.05</v>
      </c>
      <c r="G82" s="334" t="str">
        <f xml:space="preserve"> 'Key inputs &amp; outputs'!G$67</f>
        <v>p.a. real</v>
      </c>
      <c r="H82" s="103"/>
      <c r="I82" s="103"/>
      <c r="J82" s="103"/>
      <c r="K82" s="103"/>
      <c r="L82" s="103"/>
      <c r="M82" s="103"/>
      <c r="N82" s="103"/>
      <c r="O82" s="103"/>
      <c r="P82" s="103"/>
      <c r="Q82" s="103"/>
      <c r="R82" s="103"/>
      <c r="S82" s="103"/>
      <c r="T82" s="103"/>
      <c r="U82" s="103"/>
      <c r="V82" s="103"/>
      <c r="W82" s="103"/>
      <c r="X82" s="103"/>
      <c r="Y82" s="103"/>
      <c r="Z82" s="103"/>
      <c r="AA82" s="103"/>
      <c r="AB82" s="103"/>
      <c r="AC82" s="103"/>
      <c r="AD82" s="103"/>
      <c r="AE82" s="103"/>
      <c r="AF82" s="103"/>
      <c r="AG82" s="103"/>
      <c r="AH82" s="103"/>
      <c r="AI82" s="103"/>
      <c r="AJ82" s="103"/>
      <c r="AK82" s="103"/>
      <c r="AL82" s="103"/>
      <c r="AM82" s="103"/>
      <c r="AN82" s="103"/>
      <c r="AO82" s="103"/>
      <c r="AP82" s="103"/>
      <c r="AQ82" s="103"/>
      <c r="AR82" s="103"/>
      <c r="AS82" s="103"/>
      <c r="AT82" s="103"/>
    </row>
    <row r="83" spans="1:46" x14ac:dyDescent="0.3">
      <c r="B83" s="106"/>
      <c r="C83" s="201"/>
      <c r="D83" s="107" t="s">
        <v>318</v>
      </c>
      <c r="E83" s="314"/>
      <c r="F83" s="107"/>
      <c r="G83" s="107" t="s">
        <v>76</v>
      </c>
      <c r="H83" s="107"/>
      <c r="I83" s="107"/>
      <c r="J83" s="107">
        <f t="shared" ref="J83:AN83" si="52" xml:space="preserve"> 1 / ((1 + $F82) ^ J80)</f>
        <v>1.6288946267774416</v>
      </c>
      <c r="K83" s="107">
        <f t="shared" si="52"/>
        <v>1.5513282159785158</v>
      </c>
      <c r="L83" s="107">
        <f t="shared" si="52"/>
        <v>1.4774554437890626</v>
      </c>
      <c r="M83" s="107">
        <f t="shared" si="52"/>
        <v>1.4071004226562502</v>
      </c>
      <c r="N83" s="107">
        <f t="shared" si="52"/>
        <v>1.340095640625</v>
      </c>
      <c r="O83" s="107">
        <f t="shared" si="52"/>
        <v>1.2762815625000001</v>
      </c>
      <c r="P83" s="107">
        <f t="shared" si="52"/>
        <v>1.21550625</v>
      </c>
      <c r="Q83" s="107">
        <f t="shared" si="52"/>
        <v>1.1576250000000001</v>
      </c>
      <c r="R83" s="107">
        <f t="shared" si="52"/>
        <v>1.1025</v>
      </c>
      <c r="S83" s="107">
        <f t="shared" si="52"/>
        <v>1.05</v>
      </c>
      <c r="T83" s="107">
        <f t="shared" si="52"/>
        <v>1</v>
      </c>
      <c r="U83" s="107">
        <f t="shared" si="52"/>
        <v>0.95238095238095233</v>
      </c>
      <c r="V83" s="107">
        <f t="shared" si="52"/>
        <v>0.90702947845804982</v>
      </c>
      <c r="W83" s="107">
        <f t="shared" si="52"/>
        <v>0.86383759853147601</v>
      </c>
      <c r="X83" s="107">
        <f t="shared" si="52"/>
        <v>0.82270247479188197</v>
      </c>
      <c r="Y83" s="107">
        <f t="shared" si="52"/>
        <v>0.78352616646845896</v>
      </c>
      <c r="Z83" s="107">
        <f t="shared" si="52"/>
        <v>0.74621539663662761</v>
      </c>
      <c r="AA83" s="107">
        <f t="shared" si="52"/>
        <v>0.71068133013012147</v>
      </c>
      <c r="AB83" s="107">
        <f t="shared" si="52"/>
        <v>0.67683936202868722</v>
      </c>
      <c r="AC83" s="107">
        <f t="shared" si="52"/>
        <v>0.64460891621779726</v>
      </c>
      <c r="AD83" s="107">
        <f t="shared" si="52"/>
        <v>0.61391325354075932</v>
      </c>
      <c r="AE83" s="107">
        <f t="shared" si="52"/>
        <v>0.5846792890864374</v>
      </c>
      <c r="AF83" s="107">
        <f t="shared" si="52"/>
        <v>0.5568374181775595</v>
      </c>
      <c r="AG83" s="107">
        <f t="shared" si="52"/>
        <v>0.53032135064529462</v>
      </c>
      <c r="AH83" s="107">
        <f t="shared" si="52"/>
        <v>0.50506795299551888</v>
      </c>
      <c r="AI83" s="107">
        <f t="shared" si="52"/>
        <v>0.48101709809097021</v>
      </c>
      <c r="AJ83" s="107">
        <f t="shared" si="52"/>
        <v>0.45811152199140021</v>
      </c>
      <c r="AK83" s="107">
        <f t="shared" si="52"/>
        <v>0.43629668761085727</v>
      </c>
      <c r="AL83" s="107">
        <f t="shared" si="52"/>
        <v>0.41552065486748313</v>
      </c>
      <c r="AM83" s="107">
        <f t="shared" si="52"/>
        <v>0.39573395701665059</v>
      </c>
      <c r="AN83" s="107">
        <f t="shared" si="52"/>
        <v>0.37688948287300061</v>
      </c>
      <c r="AO83" s="107">
        <f t="shared" ref="AO83:AT83" si="53" xml:space="preserve"> 1 / ((1 + $F82) ^ AO80)</f>
        <v>0.35894236464095297</v>
      </c>
      <c r="AP83" s="107">
        <f t="shared" si="53"/>
        <v>0.3418498710866219</v>
      </c>
      <c r="AQ83" s="107">
        <f t="shared" si="53"/>
        <v>0.32557130579678267</v>
      </c>
      <c r="AR83" s="107">
        <f t="shared" si="53"/>
        <v>0.31006791028265024</v>
      </c>
      <c r="AS83" s="107">
        <f t="shared" si="53"/>
        <v>0.29530277169776209</v>
      </c>
      <c r="AT83" s="107">
        <f t="shared" si="53"/>
        <v>0.28124073495024959</v>
      </c>
    </row>
    <row r="84" spans="1:46" x14ac:dyDescent="0.3">
      <c r="B84" s="1"/>
      <c r="C84" s="173"/>
      <c r="F84"/>
      <c r="G84"/>
      <c r="H84"/>
      <c r="I84"/>
    </row>
    <row r="85" spans="1:46" x14ac:dyDescent="0.3">
      <c r="C85" s="187" t="s">
        <v>320</v>
      </c>
      <c r="D85" s="69"/>
      <c r="F85" s="69"/>
      <c r="G85" s="69"/>
      <c r="H85" s="69"/>
      <c r="I85" s="69"/>
      <c r="J85" s="69"/>
    </row>
    <row r="86" spans="1:46" s="9" customFormat="1" x14ac:dyDescent="0.3">
      <c r="B86" s="1"/>
      <c r="C86" s="173"/>
      <c r="D86" s="9" t="str">
        <f t="shared" ref="D86:AT86" si="54" xml:space="preserve"> D$51</f>
        <v>Net benefits excl. non-road benefits</v>
      </c>
      <c r="E86" s="16"/>
      <c r="F86" s="9">
        <f t="shared" si="54"/>
        <v>0</v>
      </c>
      <c r="G86" s="9" t="str">
        <f t="shared" si="54"/>
        <v>IDR</v>
      </c>
      <c r="H86" s="9">
        <f xml:space="preserve"> H$51</f>
        <v>-203390710081.07227</v>
      </c>
      <c r="I86" s="9">
        <f t="shared" si="54"/>
        <v>0</v>
      </c>
      <c r="J86" s="9">
        <f t="shared" si="54"/>
        <v>0</v>
      </c>
      <c r="K86" s="9">
        <f t="shared" si="54"/>
        <v>0</v>
      </c>
      <c r="L86" s="9">
        <f t="shared" si="54"/>
        <v>0</v>
      </c>
      <c r="M86" s="9">
        <f t="shared" si="54"/>
        <v>0</v>
      </c>
      <c r="N86" s="9">
        <f t="shared" si="54"/>
        <v>0</v>
      </c>
      <c r="O86" s="9">
        <f t="shared" si="54"/>
        <v>0</v>
      </c>
      <c r="P86" s="9">
        <f t="shared" si="54"/>
        <v>0</v>
      </c>
      <c r="Q86" s="9">
        <f t="shared" si="54"/>
        <v>0</v>
      </c>
      <c r="R86" s="9">
        <f t="shared" si="54"/>
        <v>0</v>
      </c>
      <c r="S86" s="9">
        <f t="shared" si="54"/>
        <v>0</v>
      </c>
      <c r="T86" s="9">
        <f t="shared" si="54"/>
        <v>-305390707360.05957</v>
      </c>
      <c r="U86" s="9">
        <f t="shared" si="54"/>
        <v>11999999679.880875</v>
      </c>
      <c r="V86" s="9">
        <f t="shared" si="54"/>
        <v>5999999839.9404373</v>
      </c>
      <c r="W86" s="9">
        <f t="shared" si="54"/>
        <v>5999999839.9404373</v>
      </c>
      <c r="X86" s="9">
        <f t="shared" si="54"/>
        <v>5999999839.9404373</v>
      </c>
      <c r="Y86" s="9">
        <f t="shared" si="54"/>
        <v>5999999839.9404373</v>
      </c>
      <c r="Z86" s="9">
        <f t="shared" si="54"/>
        <v>0</v>
      </c>
      <c r="AA86" s="9">
        <f t="shared" si="54"/>
        <v>5999999839.9404373</v>
      </c>
      <c r="AB86" s="9">
        <f t="shared" si="54"/>
        <v>5999999839.9404373</v>
      </c>
      <c r="AC86" s="9">
        <f t="shared" si="54"/>
        <v>0</v>
      </c>
      <c r="AD86" s="9">
        <f t="shared" si="54"/>
        <v>5999999839.9404373</v>
      </c>
      <c r="AE86" s="9">
        <f t="shared" si="54"/>
        <v>11999999679.880875</v>
      </c>
      <c r="AF86" s="9">
        <f t="shared" si="54"/>
        <v>0</v>
      </c>
      <c r="AG86" s="9">
        <f t="shared" si="54"/>
        <v>5999999839.9404373</v>
      </c>
      <c r="AH86" s="9">
        <f t="shared" si="54"/>
        <v>0</v>
      </c>
      <c r="AI86" s="9">
        <f t="shared" si="54"/>
        <v>5999999839.9404373</v>
      </c>
      <c r="AJ86" s="9">
        <f t="shared" si="54"/>
        <v>0</v>
      </c>
      <c r="AK86" s="9">
        <f t="shared" si="54"/>
        <v>5999999839.9404373</v>
      </c>
      <c r="AL86" s="9">
        <f t="shared" si="54"/>
        <v>5999999839.9404373</v>
      </c>
      <c r="AM86" s="9">
        <f t="shared" si="54"/>
        <v>5999999839.9404373</v>
      </c>
      <c r="AN86" s="9">
        <f t="shared" si="54"/>
        <v>0</v>
      </c>
      <c r="AO86" s="9">
        <f t="shared" si="54"/>
        <v>0</v>
      </c>
      <c r="AP86" s="9">
        <f t="shared" si="54"/>
        <v>0</v>
      </c>
      <c r="AQ86" s="9">
        <f t="shared" si="54"/>
        <v>5999999839.9404373</v>
      </c>
      <c r="AR86" s="9">
        <f t="shared" si="54"/>
        <v>0</v>
      </c>
      <c r="AS86" s="9">
        <f t="shared" si="54"/>
        <v>0</v>
      </c>
      <c r="AT86" s="9">
        <f t="shared" si="54"/>
        <v>0</v>
      </c>
    </row>
    <row r="87" spans="1:46" s="110" customFormat="1" x14ac:dyDescent="0.3">
      <c r="B87" s="109"/>
      <c r="C87" s="202"/>
      <c r="D87" s="110" t="str">
        <f t="shared" ref="D87:AT87" si="55" xml:space="preserve"> D$83</f>
        <v>Present Value (PV) discount factor</v>
      </c>
      <c r="E87" s="16"/>
      <c r="F87" s="110">
        <f t="shared" si="55"/>
        <v>0</v>
      </c>
      <c r="G87" s="110" t="str">
        <f t="shared" si="55"/>
        <v>factor</v>
      </c>
      <c r="H87" s="110">
        <f t="shared" si="55"/>
        <v>0</v>
      </c>
      <c r="I87" s="110">
        <f t="shared" si="55"/>
        <v>0</v>
      </c>
      <c r="J87" s="110">
        <f t="shared" si="55"/>
        <v>1.6288946267774416</v>
      </c>
      <c r="K87" s="110">
        <f t="shared" si="55"/>
        <v>1.5513282159785158</v>
      </c>
      <c r="L87" s="110">
        <f t="shared" si="55"/>
        <v>1.4774554437890626</v>
      </c>
      <c r="M87" s="110">
        <f t="shared" si="55"/>
        <v>1.4071004226562502</v>
      </c>
      <c r="N87" s="110">
        <f t="shared" si="55"/>
        <v>1.340095640625</v>
      </c>
      <c r="O87" s="110">
        <f t="shared" si="55"/>
        <v>1.2762815625000001</v>
      </c>
      <c r="P87" s="110">
        <f t="shared" si="55"/>
        <v>1.21550625</v>
      </c>
      <c r="Q87" s="110">
        <f t="shared" si="55"/>
        <v>1.1576250000000001</v>
      </c>
      <c r="R87" s="110">
        <f t="shared" si="55"/>
        <v>1.1025</v>
      </c>
      <c r="S87" s="110">
        <f t="shared" si="55"/>
        <v>1.05</v>
      </c>
      <c r="T87" s="110">
        <f t="shared" si="55"/>
        <v>1</v>
      </c>
      <c r="U87" s="110">
        <f t="shared" si="55"/>
        <v>0.95238095238095233</v>
      </c>
      <c r="V87" s="110">
        <f t="shared" si="55"/>
        <v>0.90702947845804982</v>
      </c>
      <c r="W87" s="110">
        <f t="shared" si="55"/>
        <v>0.86383759853147601</v>
      </c>
      <c r="X87" s="110">
        <f t="shared" si="55"/>
        <v>0.82270247479188197</v>
      </c>
      <c r="Y87" s="110">
        <f t="shared" si="55"/>
        <v>0.78352616646845896</v>
      </c>
      <c r="Z87" s="110">
        <f t="shared" si="55"/>
        <v>0.74621539663662761</v>
      </c>
      <c r="AA87" s="110">
        <f t="shared" si="55"/>
        <v>0.71068133013012147</v>
      </c>
      <c r="AB87" s="110">
        <f t="shared" si="55"/>
        <v>0.67683936202868722</v>
      </c>
      <c r="AC87" s="110">
        <f t="shared" si="55"/>
        <v>0.64460891621779726</v>
      </c>
      <c r="AD87" s="110">
        <f t="shared" si="55"/>
        <v>0.61391325354075932</v>
      </c>
      <c r="AE87" s="110">
        <f t="shared" si="55"/>
        <v>0.5846792890864374</v>
      </c>
      <c r="AF87" s="110">
        <f t="shared" si="55"/>
        <v>0.5568374181775595</v>
      </c>
      <c r="AG87" s="110">
        <f t="shared" si="55"/>
        <v>0.53032135064529462</v>
      </c>
      <c r="AH87" s="110">
        <f t="shared" si="55"/>
        <v>0.50506795299551888</v>
      </c>
      <c r="AI87" s="110">
        <f t="shared" si="55"/>
        <v>0.48101709809097021</v>
      </c>
      <c r="AJ87" s="110">
        <f t="shared" si="55"/>
        <v>0.45811152199140021</v>
      </c>
      <c r="AK87" s="110">
        <f t="shared" si="55"/>
        <v>0.43629668761085727</v>
      </c>
      <c r="AL87" s="110">
        <f t="shared" si="55"/>
        <v>0.41552065486748313</v>
      </c>
      <c r="AM87" s="110">
        <f t="shared" si="55"/>
        <v>0.39573395701665059</v>
      </c>
      <c r="AN87" s="110">
        <f t="shared" si="55"/>
        <v>0.37688948287300061</v>
      </c>
      <c r="AO87" s="110">
        <f t="shared" si="55"/>
        <v>0.35894236464095297</v>
      </c>
      <c r="AP87" s="110">
        <f t="shared" si="55"/>
        <v>0.3418498710866219</v>
      </c>
      <c r="AQ87" s="110">
        <f t="shared" si="55"/>
        <v>0.32557130579678267</v>
      </c>
      <c r="AR87" s="110">
        <f t="shared" si="55"/>
        <v>0.31006791028265024</v>
      </c>
      <c r="AS87" s="110">
        <f t="shared" si="55"/>
        <v>0.29530277169776209</v>
      </c>
      <c r="AT87" s="110">
        <f t="shared" si="55"/>
        <v>0.28124073495024959</v>
      </c>
    </row>
    <row r="88" spans="1:46" s="9" customFormat="1" x14ac:dyDescent="0.3">
      <c r="B88" s="1"/>
      <c r="C88" s="173"/>
      <c r="D88" s="244" t="s">
        <v>321</v>
      </c>
      <c r="E88" s="29"/>
      <c r="F88" s="41">
        <f xml:space="preserve"> SUMPRODUCT(J86:AT86, J87:AT87)</f>
        <v>-239168041921.18118</v>
      </c>
      <c r="G88" s="10" t="s">
        <v>388</v>
      </c>
    </row>
    <row r="89" spans="1:46" x14ac:dyDescent="0.3">
      <c r="B89" s="67"/>
      <c r="C89" s="187"/>
      <c r="F89" s="112"/>
    </row>
    <row r="90" spans="1:46" s="9" customFormat="1" x14ac:dyDescent="0.3">
      <c r="B90" s="1"/>
      <c r="C90" s="173"/>
      <c r="D90" s="9" t="str">
        <f t="shared" ref="D90:AT90" si="56" xml:space="preserve"> D$54</f>
        <v>Net benefits incl. non-road benefits</v>
      </c>
      <c r="E90" s="16"/>
      <c r="F90" s="9">
        <f t="shared" si="56"/>
        <v>0</v>
      </c>
      <c r="G90" s="9" t="str">
        <f t="shared" si="56"/>
        <v>IDR</v>
      </c>
      <c r="H90" s="9">
        <f xml:space="preserve"> H$54</f>
        <v>1571212646584.7476</v>
      </c>
      <c r="I90" s="9">
        <f t="shared" si="56"/>
        <v>0</v>
      </c>
      <c r="J90" s="9">
        <f xml:space="preserve"> J$54</f>
        <v>0</v>
      </c>
      <c r="K90" s="9">
        <f t="shared" si="56"/>
        <v>0</v>
      </c>
      <c r="L90" s="9">
        <f t="shared" si="56"/>
        <v>0</v>
      </c>
      <c r="M90" s="9">
        <f t="shared" si="56"/>
        <v>0</v>
      </c>
      <c r="N90" s="9">
        <f t="shared" si="56"/>
        <v>0</v>
      </c>
      <c r="O90" s="9">
        <f t="shared" si="56"/>
        <v>0</v>
      </c>
      <c r="P90" s="9">
        <f t="shared" si="56"/>
        <v>0</v>
      </c>
      <c r="Q90" s="9">
        <f t="shared" si="56"/>
        <v>0</v>
      </c>
      <c r="R90" s="9">
        <f t="shared" si="56"/>
        <v>0</v>
      </c>
      <c r="S90" s="9">
        <f t="shared" si="56"/>
        <v>0</v>
      </c>
      <c r="T90" s="9">
        <f t="shared" si="56"/>
        <v>-206801631989.73627</v>
      </c>
      <c r="U90" s="9">
        <f t="shared" si="56"/>
        <v>209178150420.52753</v>
      </c>
      <c r="V90" s="9">
        <f t="shared" si="56"/>
        <v>104589075210.26376</v>
      </c>
      <c r="W90" s="9">
        <f t="shared" si="56"/>
        <v>104589075210.26376</v>
      </c>
      <c r="X90" s="9">
        <f t="shared" si="56"/>
        <v>104589075210.26376</v>
      </c>
      <c r="Y90" s="9">
        <f t="shared" si="56"/>
        <v>104589075210.26376</v>
      </c>
      <c r="Z90" s="9">
        <f t="shared" si="56"/>
        <v>0</v>
      </c>
      <c r="AA90" s="9">
        <f t="shared" si="56"/>
        <v>104589075210.26376</v>
      </c>
      <c r="AB90" s="9">
        <f t="shared" si="56"/>
        <v>104589075210.26376</v>
      </c>
      <c r="AC90" s="9">
        <f t="shared" si="56"/>
        <v>0</v>
      </c>
      <c r="AD90" s="9">
        <f t="shared" si="56"/>
        <v>104589075210.26376</v>
      </c>
      <c r="AE90" s="9">
        <f t="shared" si="56"/>
        <v>209178150420.52753</v>
      </c>
      <c r="AF90" s="9">
        <f t="shared" si="56"/>
        <v>0</v>
      </c>
      <c r="AG90" s="9">
        <f t="shared" si="56"/>
        <v>104589075210.26376</v>
      </c>
      <c r="AH90" s="9">
        <f t="shared" si="56"/>
        <v>0</v>
      </c>
      <c r="AI90" s="9">
        <f t="shared" si="56"/>
        <v>104589075210.26376</v>
      </c>
      <c r="AJ90" s="9">
        <f t="shared" si="56"/>
        <v>0</v>
      </c>
      <c r="AK90" s="9">
        <f t="shared" si="56"/>
        <v>104589075210.26376</v>
      </c>
      <c r="AL90" s="9">
        <f t="shared" si="56"/>
        <v>104589075210.26376</v>
      </c>
      <c r="AM90" s="9">
        <f t="shared" si="56"/>
        <v>104589075210.26376</v>
      </c>
      <c r="AN90" s="9">
        <f t="shared" si="56"/>
        <v>0</v>
      </c>
      <c r="AO90" s="9">
        <f t="shared" si="56"/>
        <v>0</v>
      </c>
      <c r="AP90" s="9">
        <f t="shared" si="56"/>
        <v>0</v>
      </c>
      <c r="AQ90" s="9">
        <f t="shared" si="56"/>
        <v>104589075210.26376</v>
      </c>
      <c r="AR90" s="9">
        <f t="shared" si="56"/>
        <v>0</v>
      </c>
      <c r="AS90" s="9">
        <f t="shared" si="56"/>
        <v>0</v>
      </c>
      <c r="AT90" s="9">
        <f t="shared" si="56"/>
        <v>0</v>
      </c>
    </row>
    <row r="91" spans="1:46" s="110" customFormat="1" x14ac:dyDescent="0.3">
      <c r="B91" s="109"/>
      <c r="C91" s="202"/>
      <c r="D91" s="110" t="str">
        <f t="shared" ref="D91:AT91" si="57" xml:space="preserve"> D$83</f>
        <v>Present Value (PV) discount factor</v>
      </c>
      <c r="E91" s="16"/>
      <c r="F91" s="110">
        <f t="shared" si="57"/>
        <v>0</v>
      </c>
      <c r="G91" s="110" t="str">
        <f t="shared" si="57"/>
        <v>factor</v>
      </c>
      <c r="H91" s="110">
        <f t="shared" si="57"/>
        <v>0</v>
      </c>
      <c r="I91" s="110">
        <f t="shared" si="57"/>
        <v>0</v>
      </c>
      <c r="J91" s="110">
        <f t="shared" si="57"/>
        <v>1.6288946267774416</v>
      </c>
      <c r="K91" s="110">
        <f t="shared" si="57"/>
        <v>1.5513282159785158</v>
      </c>
      <c r="L91" s="110">
        <f t="shared" si="57"/>
        <v>1.4774554437890626</v>
      </c>
      <c r="M91" s="110">
        <f t="shared" si="57"/>
        <v>1.4071004226562502</v>
      </c>
      <c r="N91" s="110">
        <f t="shared" si="57"/>
        <v>1.340095640625</v>
      </c>
      <c r="O91" s="110">
        <f t="shared" si="57"/>
        <v>1.2762815625000001</v>
      </c>
      <c r="P91" s="110">
        <f t="shared" si="57"/>
        <v>1.21550625</v>
      </c>
      <c r="Q91" s="110">
        <f t="shared" si="57"/>
        <v>1.1576250000000001</v>
      </c>
      <c r="R91" s="110">
        <f t="shared" si="57"/>
        <v>1.1025</v>
      </c>
      <c r="S91" s="110">
        <f t="shared" si="57"/>
        <v>1.05</v>
      </c>
      <c r="T91" s="110">
        <f t="shared" si="57"/>
        <v>1</v>
      </c>
      <c r="U91" s="110">
        <f t="shared" si="57"/>
        <v>0.95238095238095233</v>
      </c>
      <c r="V91" s="110">
        <f t="shared" si="57"/>
        <v>0.90702947845804982</v>
      </c>
      <c r="W91" s="110">
        <f t="shared" si="57"/>
        <v>0.86383759853147601</v>
      </c>
      <c r="X91" s="110">
        <f t="shared" si="57"/>
        <v>0.82270247479188197</v>
      </c>
      <c r="Y91" s="110">
        <f t="shared" si="57"/>
        <v>0.78352616646845896</v>
      </c>
      <c r="Z91" s="110">
        <f t="shared" si="57"/>
        <v>0.74621539663662761</v>
      </c>
      <c r="AA91" s="110">
        <f t="shared" si="57"/>
        <v>0.71068133013012147</v>
      </c>
      <c r="AB91" s="110">
        <f t="shared" si="57"/>
        <v>0.67683936202868722</v>
      </c>
      <c r="AC91" s="110">
        <f t="shared" si="57"/>
        <v>0.64460891621779726</v>
      </c>
      <c r="AD91" s="110">
        <f t="shared" si="57"/>
        <v>0.61391325354075932</v>
      </c>
      <c r="AE91" s="110">
        <f t="shared" si="57"/>
        <v>0.5846792890864374</v>
      </c>
      <c r="AF91" s="110">
        <f t="shared" si="57"/>
        <v>0.5568374181775595</v>
      </c>
      <c r="AG91" s="110">
        <f t="shared" si="57"/>
        <v>0.53032135064529462</v>
      </c>
      <c r="AH91" s="110">
        <f t="shared" si="57"/>
        <v>0.50506795299551888</v>
      </c>
      <c r="AI91" s="110">
        <f t="shared" si="57"/>
        <v>0.48101709809097021</v>
      </c>
      <c r="AJ91" s="110">
        <f t="shared" si="57"/>
        <v>0.45811152199140021</v>
      </c>
      <c r="AK91" s="110">
        <f t="shared" si="57"/>
        <v>0.43629668761085727</v>
      </c>
      <c r="AL91" s="110">
        <f t="shared" si="57"/>
        <v>0.41552065486748313</v>
      </c>
      <c r="AM91" s="110">
        <f t="shared" si="57"/>
        <v>0.39573395701665059</v>
      </c>
      <c r="AN91" s="110">
        <f t="shared" si="57"/>
        <v>0.37688948287300061</v>
      </c>
      <c r="AO91" s="110">
        <f t="shared" si="57"/>
        <v>0.35894236464095297</v>
      </c>
      <c r="AP91" s="110">
        <f t="shared" si="57"/>
        <v>0.3418498710866219</v>
      </c>
      <c r="AQ91" s="110">
        <f t="shared" si="57"/>
        <v>0.32557130579678267</v>
      </c>
      <c r="AR91" s="110">
        <f t="shared" si="57"/>
        <v>0.31006791028265024</v>
      </c>
      <c r="AS91" s="110">
        <f t="shared" si="57"/>
        <v>0.29530277169776209</v>
      </c>
      <c r="AT91" s="110">
        <f t="shared" si="57"/>
        <v>0.28124073495024959</v>
      </c>
    </row>
    <row r="92" spans="1:46" s="9" customFormat="1" x14ac:dyDescent="0.3">
      <c r="B92" s="1"/>
      <c r="C92" s="173"/>
      <c r="D92" s="244" t="s">
        <v>322</v>
      </c>
      <c r="E92" s="29"/>
      <c r="F92" s="41">
        <f xml:space="preserve"> SUMPRODUCT(J90:AT90, J91:AT91)</f>
        <v>947559621506.52002</v>
      </c>
      <c r="G92" s="10" t="s">
        <v>388</v>
      </c>
    </row>
    <row r="93" spans="1:46" x14ac:dyDescent="0.3">
      <c r="B93" s="67"/>
      <c r="C93" s="187"/>
    </row>
    <row r="94" spans="1:46" x14ac:dyDescent="0.3">
      <c r="A94" s="15" t="s">
        <v>26</v>
      </c>
    </row>
  </sheetData>
  <pageMargins left="0.70866141732283472" right="0.70866141732283472" top="0.74803149606299213" bottom="0.74803149606299213" header="0.31496062992125984" footer="0.31496062992125984"/>
  <pageSetup paperSize="9" scale="55" orientation="landscape"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F0F21-8772-49F0-AE03-F5073749EEB6}">
  <sheetPr>
    <pageSetUpPr fitToPage="1"/>
  </sheetPr>
  <dimension ref="A1:G21"/>
  <sheetViews>
    <sheetView zoomScale="66" zoomScaleNormal="66" workbookViewId="0">
      <pane ySplit="2" topLeftCell="A3" activePane="bottomLeft" state="frozen"/>
      <selection activeCell="F40" sqref="F40"/>
      <selection pane="bottomLeft" activeCell="C12" sqref="C12"/>
    </sheetView>
  </sheetViews>
  <sheetFormatPr defaultColWidth="8.88671875" defaultRowHeight="14.4" x14ac:dyDescent="0.3"/>
  <cols>
    <col min="1" max="1" width="1.5546875" customWidth="1"/>
    <col min="2" max="2" width="6.88671875" style="92" customWidth="1"/>
    <col min="3" max="3" width="120.5546875" style="2" customWidth="1"/>
    <col min="4" max="4" width="55.33203125" style="126" customWidth="1"/>
    <col min="5" max="7" width="16.88671875" customWidth="1"/>
    <col min="8" max="8" width="20.44140625" customWidth="1"/>
  </cols>
  <sheetData>
    <row r="1" spans="1:7" ht="24.6" x14ac:dyDescent="0.3">
      <c r="A1" s="32" t="str">
        <f ca="1" xml:space="preserve"> RIGHT(CELL("filename", A1), LEN(CELL("filename", A1)) - SEARCH("]", CELL("filename", A1)))</f>
        <v>References &amp; Notes</v>
      </c>
      <c r="B1" s="19"/>
      <c r="D1" s="286"/>
      <c r="E1" s="4"/>
      <c r="F1" s="4"/>
      <c r="G1" s="4"/>
    </row>
    <row r="2" spans="1:7" x14ac:dyDescent="0.3">
      <c r="B2" s="8" t="s">
        <v>323</v>
      </c>
      <c r="C2" s="320" t="s">
        <v>324</v>
      </c>
      <c r="F2" s="28"/>
    </row>
    <row r="3" spans="1:7" x14ac:dyDescent="0.3">
      <c r="B3" s="8"/>
      <c r="F3" s="28"/>
    </row>
    <row r="4" spans="1:7" ht="45" customHeight="1" x14ac:dyDescent="0.3">
      <c r="B4" s="92">
        <f xml:space="preserve"> ROW() - 3</f>
        <v>1</v>
      </c>
      <c r="C4" s="132" t="s">
        <v>330</v>
      </c>
      <c r="D4" s="132"/>
    </row>
    <row r="5" spans="1:7" ht="45" customHeight="1" x14ac:dyDescent="0.3">
      <c r="B5" s="92">
        <v>2</v>
      </c>
      <c r="C5" s="132" t="s">
        <v>331</v>
      </c>
      <c r="D5" s="132"/>
    </row>
    <row r="6" spans="1:7" ht="45" customHeight="1" x14ac:dyDescent="0.3">
      <c r="B6" s="92">
        <f t="shared" ref="B6:B19" si="0" xml:space="preserve"> ROW() - 3</f>
        <v>3</v>
      </c>
      <c r="C6" s="2" t="s">
        <v>325</v>
      </c>
    </row>
    <row r="7" spans="1:7" ht="45" customHeight="1" x14ac:dyDescent="0.3">
      <c r="B7" s="92">
        <f t="shared" si="0"/>
        <v>4</v>
      </c>
      <c r="C7" s="321" t="s">
        <v>462</v>
      </c>
    </row>
    <row r="8" spans="1:7" ht="45" customHeight="1" x14ac:dyDescent="0.3">
      <c r="B8" s="92">
        <f t="shared" si="0"/>
        <v>5</v>
      </c>
      <c r="C8" s="321" t="s">
        <v>326</v>
      </c>
    </row>
    <row r="9" spans="1:7" ht="45" customHeight="1" x14ac:dyDescent="0.3">
      <c r="B9" s="92">
        <f t="shared" si="0"/>
        <v>6</v>
      </c>
      <c r="C9" s="321" t="s">
        <v>327</v>
      </c>
    </row>
    <row r="10" spans="1:7" ht="45" customHeight="1" x14ac:dyDescent="0.3">
      <c r="B10" s="92">
        <f t="shared" si="0"/>
        <v>7</v>
      </c>
      <c r="C10" s="321" t="s">
        <v>463</v>
      </c>
      <c r="E10" s="126"/>
    </row>
    <row r="11" spans="1:7" ht="45" customHeight="1" x14ac:dyDescent="0.3">
      <c r="B11" s="92">
        <f t="shared" si="0"/>
        <v>8</v>
      </c>
      <c r="C11" s="321" t="s">
        <v>464</v>
      </c>
      <c r="E11" s="126"/>
    </row>
    <row r="12" spans="1:7" ht="45" customHeight="1" x14ac:dyDescent="0.3">
      <c r="B12" s="92">
        <f t="shared" si="0"/>
        <v>9</v>
      </c>
      <c r="C12" s="358" t="s">
        <v>411</v>
      </c>
      <c r="E12" s="126"/>
    </row>
    <row r="13" spans="1:7" ht="45" customHeight="1" x14ac:dyDescent="0.3">
      <c r="B13" s="92">
        <f t="shared" si="0"/>
        <v>10</v>
      </c>
      <c r="C13" s="395" t="s">
        <v>466</v>
      </c>
    </row>
    <row r="14" spans="1:7" ht="45" customHeight="1" x14ac:dyDescent="0.3">
      <c r="B14" s="92">
        <f t="shared" si="0"/>
        <v>11</v>
      </c>
      <c r="C14" s="394" t="s">
        <v>328</v>
      </c>
    </row>
    <row r="15" spans="1:7" ht="45" customHeight="1" x14ac:dyDescent="0.3">
      <c r="B15" s="92">
        <f t="shared" si="0"/>
        <v>12</v>
      </c>
      <c r="C15" s="336" t="s">
        <v>329</v>
      </c>
    </row>
    <row r="16" spans="1:7" ht="45" customHeight="1" x14ac:dyDescent="0.3">
      <c r="B16" s="92">
        <f t="shared" si="0"/>
        <v>13</v>
      </c>
    </row>
    <row r="17" spans="1:2" ht="45" customHeight="1" x14ac:dyDescent="0.3">
      <c r="B17" s="92">
        <f t="shared" si="0"/>
        <v>14</v>
      </c>
    </row>
    <row r="18" spans="1:2" ht="45" customHeight="1" x14ac:dyDescent="0.3">
      <c r="B18" s="92">
        <f t="shared" si="0"/>
        <v>15</v>
      </c>
    </row>
    <row r="19" spans="1:2" ht="45" customHeight="1" x14ac:dyDescent="0.3">
      <c r="B19" s="92">
        <f t="shared" si="0"/>
        <v>16</v>
      </c>
    </row>
    <row r="20" spans="1:2" ht="45" customHeight="1" x14ac:dyDescent="0.3"/>
    <row r="21" spans="1:2" ht="45" customHeight="1" x14ac:dyDescent="0.3">
      <c r="A21" s="1" t="s">
        <v>26</v>
      </c>
    </row>
  </sheetData>
  <hyperlinks>
    <hyperlink ref="C15" r:id="rId1" xr:uid="{2271AE13-0263-4DE0-BAD0-C39C2E39BDDC}"/>
    <hyperlink ref="C12" r:id="rId2" location="data " display="https://www.fao.org/faostat/en/#data " xr:uid="{B65D7EB3-C502-4D3B-903D-8B13EB983D01}"/>
    <hyperlink ref="C14" r:id="rId3" xr:uid="{4E8F8E0C-9B27-4902-9C4F-BA8D1FBD7603}"/>
  </hyperlinks>
  <pageMargins left="0.7" right="0.7" top="0.75" bottom="0.75" header="0.3" footer="0.3"/>
  <pageSetup paperSize="9" scale="61" fitToHeight="0" orientation="portrait" horizontalDpi="300" verticalDpi="300"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D14E735101C004AA007216C4F5840E8" ma:contentTypeVersion="20" ma:contentTypeDescription="Create a new document." ma:contentTypeScope="" ma:versionID="d515cecf60a2aa7696e661b9246b82d6">
  <xsd:schema xmlns:xsd="http://www.w3.org/2001/XMLSchema" xmlns:xs="http://www.w3.org/2001/XMLSchema" xmlns:p="http://schemas.microsoft.com/office/2006/metadata/properties" xmlns:ns1="http://schemas.microsoft.com/sharepoint/v3" xmlns:ns2="651bf6b3-ef7a-4355-ae27-d6a38f2023c1" xmlns:ns3="6f41dd98-b56a-4259-893e-7b1d7ecbb81a" targetNamespace="http://schemas.microsoft.com/office/2006/metadata/properties" ma:root="true" ma:fieldsID="edc17545d2a8c609ce036e60a4db16a2" ns1:_="" ns2:_="" ns3:_="">
    <xsd:import namespace="http://schemas.microsoft.com/sharepoint/v3"/>
    <xsd:import namespace="651bf6b3-ef7a-4355-ae27-d6a38f2023c1"/>
    <xsd:import namespace="6f41dd98-b56a-4259-893e-7b1d7ecbb81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1bf6b3-ef7a-4355-ae27-d6a38f2023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88a5942-9b27-4a7b-8de0-795e82ee741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f41dd98-b56a-4259-893e-7b1d7ecbb81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e7661c03-40f5-415e-8745-ce447b14d0d6}" ma:internalName="TaxCatchAll" ma:showField="CatchAllData" ma:web="6f41dd98-b56a-4259-893e-7b1d7ecbb81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6f41dd98-b56a-4259-893e-7b1d7ecbb81a" xsi:nil="true"/>
    <lcf76f155ced4ddcb4097134ff3c332f xmlns="651bf6b3-ef7a-4355-ae27-d6a38f2023c1">
      <Terms xmlns="http://schemas.microsoft.com/office/infopath/2007/PartnerControls"/>
    </lcf76f155ced4ddcb4097134ff3c332f>
    <SharedWithUsers xmlns="6f41dd98-b56a-4259-893e-7b1d7ecbb81a">
      <UserInfo>
        <DisplayName>Benjamin Simmons</DisplayName>
        <AccountId>346</AccountId>
        <AccountType/>
      </UserInfo>
      <UserInfo>
        <DisplayName>andrea.bassi</DisplayName>
        <AccountId>15</AccountId>
        <AccountType/>
      </UserInfo>
      <UserInfo>
        <DisplayName>Liesbeth Casier</DisplayName>
        <AccountId>6</AccountId>
        <AccountType/>
      </UserInfo>
    </SharedWithUsers>
  </documentManagement>
</p:properties>
</file>

<file path=customXml/itemProps1.xml><?xml version="1.0" encoding="utf-8"?>
<ds:datastoreItem xmlns:ds="http://schemas.openxmlformats.org/officeDocument/2006/customXml" ds:itemID="{4A68969B-A889-421C-B79A-217AD1F1E6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51bf6b3-ef7a-4355-ae27-d6a38f2023c1"/>
    <ds:schemaRef ds:uri="6f41dd98-b56a-4259-893e-7b1d7ecbb8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8ED354-0CD2-462D-971D-6005FA38AE4B}">
  <ds:schemaRefs>
    <ds:schemaRef ds:uri="http://schemas.microsoft.com/sharepoint/v3/contenttype/forms"/>
  </ds:schemaRefs>
</ds:datastoreItem>
</file>

<file path=customXml/itemProps3.xml><?xml version="1.0" encoding="utf-8"?>
<ds:datastoreItem xmlns:ds="http://schemas.openxmlformats.org/officeDocument/2006/customXml" ds:itemID="{C25803CD-A950-48DC-A19D-9EE9A5F1A8DF}">
  <ds:schemaRefs>
    <ds:schemaRef ds:uri="http://schemas.microsoft.com/office/2006/metadata/properties"/>
    <ds:schemaRef ds:uri="http://schemas.microsoft.com/office/infopath/2007/PartnerControls"/>
    <ds:schemaRef ds:uri="http://schemas.microsoft.com/sharepoint/v3"/>
    <ds:schemaRef ds:uri="6f41dd98-b56a-4259-893e-7b1d7ecbb81a"/>
    <ds:schemaRef ds:uri="651bf6b3-ef7a-4355-ae27-d6a38f2023c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Guide</vt:lpstr>
      <vt:lpstr>Key inputs &amp; outputs</vt:lpstr>
      <vt:lpstr>WestKalimant Data (IDR)</vt:lpstr>
      <vt:lpstr>Other inputs (IDR)</vt:lpstr>
      <vt:lpstr>Other Inputs (AUD)</vt:lpstr>
      <vt:lpstr>Non-road benefits calcs</vt:lpstr>
      <vt:lpstr>Climate Impacts</vt:lpstr>
      <vt:lpstr>Analysis</vt:lpstr>
      <vt:lpstr>References &amp; Notes</vt:lpstr>
      <vt:lpstr>Guide!_gjdgxs</vt:lpstr>
      <vt:lpstr>Case_list</vt:lpstr>
      <vt:lpstr>Crop_and_fruit_list</vt:lpstr>
      <vt:lpstr>Livestock_list</vt:lpstr>
      <vt:lpstr>Analysis!Print_Titles</vt:lpstr>
      <vt:lpstr>'Non-road benefits calcs'!Print_Titles</vt:lpstr>
      <vt:lpstr>'Other inputs (IDR)'!Print_Titles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2022-08-31T14:42:57Z</dcterms:created>
  <dcterms:modified xsi:type="dcterms:W3CDTF">2025-03-28T13:59:19Z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0x0101005D14E735101C004AA007216C4F5840E8</vt:lpwstr>
  </property>
  <property fmtid="{D5CDD505-2E9C-101B-9397-08002B2CF9AE}" pid="3" name="MediaServiceImageTags">
    <vt:lpwstr/>
  </property>
</Properties>
</file>