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filterPrivacy="1"/>
  <xr:revisionPtr revIDLastSave="0" documentId="8_{590A40D1-065F-42AD-A050-5D92E45F22DB}" xr6:coauthVersionLast="47" xr6:coauthVersionMax="47" xr10:uidLastSave="{00000000-0000-0000-0000-000000000000}"/>
  <bookViews>
    <workbookView xWindow="-108" yWindow="-108" windowWidth="23256" windowHeight="12456" tabRatio="923" activeTab="1" xr2:uid="{87B7794A-41E9-47AA-B9C6-4E42AEEC0045}"/>
  </bookViews>
  <sheets>
    <sheet name="Guide" sheetId="38" r:id="rId1"/>
    <sheet name="Key inputs &amp; outputs" sheetId="41" r:id="rId2"/>
    <sheet name="Other inputs" sheetId="8" r:id="rId3"/>
    <sheet name="Non-road benefits calcs" sheetId="23" r:id="rId4"/>
    <sheet name="Analysis" sheetId="35" r:id="rId5"/>
    <sheet name="References &amp; Notes" sheetId="42" r:id="rId6"/>
  </sheets>
  <definedNames>
    <definedName name="Case_list">'Key inputs &amp; outputs'!$H$2:$O$2</definedName>
    <definedName name="Crop_and_fruit_list" localSheetId="5">'References &amp; Notes'!#REF!</definedName>
    <definedName name="Crop_and_fruit_list">'Other inputs'!$D$126:$D$160</definedName>
    <definedName name="Livestock_list" localSheetId="5">'References &amp; Notes'!#REF!</definedName>
    <definedName name="Livestock_list">'Other inputs'!$D$177:$D$183</definedName>
    <definedName name="_xlnm.Print_Titles" localSheetId="4">Analysis!$A:$I,Analysis!$1:$3</definedName>
    <definedName name="_xlnm.Print_Titles" localSheetId="3">'Non-road benefits calcs'!$1:$2</definedName>
    <definedName name="_xlnm.Print_Titles" localSheetId="2">'Other inputs'!$1:$2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9" i="41" l="1"/>
  <c r="E99" i="41"/>
  <c r="D99" i="41"/>
  <c r="G35" i="35"/>
  <c r="E35" i="35"/>
  <c r="D35" i="35"/>
  <c r="G173" i="8"/>
  <c r="F173" i="8"/>
  <c r="D173" i="8"/>
  <c r="G170" i="23"/>
  <c r="D170" i="23"/>
  <c r="G166" i="8"/>
  <c r="F166" i="8"/>
  <c r="F167" i="8" s="1"/>
  <c r="F170" i="23" s="1"/>
  <c r="D166" i="8"/>
  <c r="G122" i="8"/>
  <c r="F122" i="8"/>
  <c r="D122" i="8"/>
  <c r="G31" i="23"/>
  <c r="G30" i="23"/>
  <c r="D39" i="8"/>
  <c r="D30" i="23" s="1"/>
  <c r="G37" i="8"/>
  <c r="F37" i="8"/>
  <c r="D37" i="8"/>
  <c r="D40" i="8"/>
  <c r="D31" i="23" s="1"/>
  <c r="E35" i="8"/>
  <c r="D50" i="41"/>
  <c r="G80" i="35"/>
  <c r="F80" i="35"/>
  <c r="E80" i="35"/>
  <c r="D80" i="35"/>
  <c r="G76" i="35"/>
  <c r="F76" i="35"/>
  <c r="E76" i="35"/>
  <c r="D76" i="35"/>
  <c r="G75" i="35"/>
  <c r="F75" i="35"/>
  <c r="E75" i="35"/>
  <c r="D75" i="35"/>
  <c r="G6" i="35"/>
  <c r="F6" i="35"/>
  <c r="E6" i="35"/>
  <c r="D6" i="35"/>
  <c r="D61" i="41"/>
  <c r="D59" i="41"/>
  <c r="G34" i="35"/>
  <c r="E34" i="35"/>
  <c r="D34" i="35"/>
  <c r="D55" i="41"/>
  <c r="G29" i="35"/>
  <c r="E29" i="35"/>
  <c r="D29" i="35"/>
  <c r="G216" i="23"/>
  <c r="F216" i="23"/>
  <c r="D216" i="23"/>
  <c r="E78" i="8"/>
  <c r="B6" i="42"/>
  <c r="E114" i="8" s="1"/>
  <c r="B18" i="42"/>
  <c r="B17" i="42"/>
  <c r="B16" i="42"/>
  <c r="B15" i="42"/>
  <c r="B14" i="42"/>
  <c r="B13" i="42"/>
  <c r="E26" i="23" s="1"/>
  <c r="B12" i="42"/>
  <c r="E214" i="8" s="1"/>
  <c r="B11" i="42"/>
  <c r="E174" i="8" s="1"/>
  <c r="B10" i="42"/>
  <c r="E118" i="8" s="1"/>
  <c r="B9" i="42"/>
  <c r="E117" i="8" s="1"/>
  <c r="B8" i="42"/>
  <c r="E116" i="8" s="1"/>
  <c r="B7" i="42"/>
  <c r="E115" i="8" s="1"/>
  <c r="B5" i="42"/>
  <c r="E19" i="8" s="1"/>
  <c r="B4" i="42"/>
  <c r="E7" i="8" s="1"/>
  <c r="A1" i="42"/>
  <c r="G215" i="23"/>
  <c r="F215" i="23"/>
  <c r="D215" i="23"/>
  <c r="F217" i="23" l="1"/>
  <c r="E123" i="8"/>
  <c r="E51" i="8"/>
  <c r="E96" i="8"/>
  <c r="E6" i="8"/>
  <c r="G219" i="23"/>
  <c r="D219" i="23"/>
  <c r="G205" i="23"/>
  <c r="D205" i="23"/>
  <c r="G199" i="23"/>
  <c r="D199" i="23"/>
  <c r="G7" i="23"/>
  <c r="D7" i="23"/>
  <c r="G6" i="23"/>
  <c r="D6" i="23"/>
  <c r="G210" i="23"/>
  <c r="F210" i="23"/>
  <c r="D210" i="23"/>
  <c r="G207" i="23"/>
  <c r="F207" i="23"/>
  <c r="D207" i="23"/>
  <c r="G206" i="23"/>
  <c r="F206" i="23"/>
  <c r="D206" i="23"/>
  <c r="G200" i="23"/>
  <c r="F200" i="23"/>
  <c r="D200" i="23"/>
  <c r="G184" i="23"/>
  <c r="F184" i="23"/>
  <c r="D184" i="23"/>
  <c r="G177" i="23"/>
  <c r="D177" i="23"/>
  <c r="G171" i="23"/>
  <c r="F171" i="23"/>
  <c r="D171" i="23"/>
  <c r="G164" i="23"/>
  <c r="F164" i="23"/>
  <c r="D164" i="23"/>
  <c r="G157" i="23"/>
  <c r="D157" i="23"/>
  <c r="G42" i="23"/>
  <c r="F42" i="23"/>
  <c r="D42" i="23"/>
  <c r="G40" i="23"/>
  <c r="F40" i="23"/>
  <c r="D40" i="23"/>
  <c r="G37" i="23"/>
  <c r="F37" i="23"/>
  <c r="D37" i="23"/>
  <c r="G35" i="23"/>
  <c r="F35" i="23"/>
  <c r="D35" i="23"/>
  <c r="F35" i="8"/>
  <c r="F40" i="8" s="1"/>
  <c r="F31" i="23" s="1"/>
  <c r="F34" i="8"/>
  <c r="F39" i="8" s="1"/>
  <c r="F30" i="23" s="1"/>
  <c r="G27" i="23"/>
  <c r="F27" i="23"/>
  <c r="D27" i="23"/>
  <c r="G26" i="23"/>
  <c r="F26" i="23"/>
  <c r="D26" i="23"/>
  <c r="G14" i="23"/>
  <c r="F14" i="23"/>
  <c r="D14" i="23"/>
  <c r="G11" i="23"/>
  <c r="D11" i="23"/>
  <c r="F12" i="8"/>
  <c r="F11" i="23" s="1"/>
  <c r="G8" i="23"/>
  <c r="F8" i="23"/>
  <c r="D8" i="23"/>
  <c r="F6" i="41" l="1"/>
  <c r="F58" i="41" s="1" a="1"/>
  <c r="F58" i="41" s="1"/>
  <c r="F99" i="41" s="1"/>
  <c r="D165" i="23"/>
  <c r="D133" i="23"/>
  <c r="D22" i="23"/>
  <c r="G220" i="23"/>
  <c r="D220" i="23"/>
  <c r="G211" i="23"/>
  <c r="D211" i="23"/>
  <c r="G201" i="23"/>
  <c r="D201" i="23"/>
  <c r="G195" i="23"/>
  <c r="D195" i="23"/>
  <c r="G172" i="23"/>
  <c r="D172" i="23"/>
  <c r="G165" i="23"/>
  <c r="G153" i="23"/>
  <c r="D153" i="23"/>
  <c r="G133" i="23"/>
  <c r="G113" i="23"/>
  <c r="D113" i="23"/>
  <c r="G93" i="23"/>
  <c r="D93" i="23"/>
  <c r="G73" i="23"/>
  <c r="D73" i="23"/>
  <c r="G53" i="23"/>
  <c r="D53" i="23"/>
  <c r="G43" i="23"/>
  <c r="D43" i="23"/>
  <c r="G22" i="23"/>
  <c r="G15" i="23"/>
  <c r="D15" i="23"/>
  <c r="G87" i="41"/>
  <c r="G86" i="41"/>
  <c r="G85" i="41"/>
  <c r="G84" i="41"/>
  <c r="G83" i="41"/>
  <c r="G82" i="41"/>
  <c r="G81" i="41"/>
  <c r="G80" i="41"/>
  <c r="G79" i="41"/>
  <c r="G78" i="41"/>
  <c r="G77" i="41"/>
  <c r="G76" i="41"/>
  <c r="G75" i="41"/>
  <c r="G74" i="41"/>
  <c r="G73" i="41"/>
  <c r="G189" i="23"/>
  <c r="D189" i="23"/>
  <c r="G183" i="23"/>
  <c r="D183" i="23"/>
  <c r="G169" i="23"/>
  <c r="D169" i="23"/>
  <c r="G159" i="23"/>
  <c r="D159" i="23"/>
  <c r="G48" i="23"/>
  <c r="D48" i="23"/>
  <c r="G96" i="41"/>
  <c r="D96" i="41"/>
  <c r="G93" i="41"/>
  <c r="D93" i="41"/>
  <c r="G101" i="41"/>
  <c r="D101" i="41"/>
  <c r="G100" i="41"/>
  <c r="D100" i="41"/>
  <c r="G88" i="41"/>
  <c r="G111" i="41"/>
  <c r="D111" i="41"/>
  <c r="G110" i="41"/>
  <c r="D110" i="41"/>
  <c r="G114" i="41"/>
  <c r="F114" i="41"/>
  <c r="D114" i="41"/>
  <c r="G113" i="41"/>
  <c r="F113" i="41"/>
  <c r="D113" i="41"/>
  <c r="G108" i="41"/>
  <c r="D108" i="41"/>
  <c r="G107" i="41"/>
  <c r="D107" i="41"/>
  <c r="G105" i="41"/>
  <c r="D105" i="41"/>
  <c r="G104" i="41"/>
  <c r="D104" i="41"/>
  <c r="A1" i="41"/>
  <c r="G172" i="8"/>
  <c r="F172" i="8"/>
  <c r="H179" i="8" s="1"/>
  <c r="I179" i="8" s="1"/>
  <c r="D172" i="8"/>
  <c r="D121" i="8"/>
  <c r="F121" i="8"/>
  <c r="H135" i="8" s="1"/>
  <c r="I135" i="8" s="1"/>
  <c r="G121" i="8"/>
  <c r="F7" i="35"/>
  <c r="B46" i="35" s="1"/>
  <c r="D70" i="35"/>
  <c r="F70" i="35"/>
  <c r="G70" i="35"/>
  <c r="I70" i="35"/>
  <c r="G59" i="35"/>
  <c r="F59" i="35"/>
  <c r="D59" i="35"/>
  <c r="G55" i="35"/>
  <c r="F55" i="35"/>
  <c r="D55" i="35"/>
  <c r="D48" i="35"/>
  <c r="F48" i="35"/>
  <c r="G48" i="35"/>
  <c r="I48" i="35"/>
  <c r="H38" i="35"/>
  <c r="F100" i="41" s="1"/>
  <c r="F35" i="35" l="1"/>
  <c r="D92" i="41"/>
  <c r="G92" i="41"/>
  <c r="F57" i="41" a="1"/>
  <c r="F57" i="41" s="1"/>
  <c r="F54" i="41" a="1"/>
  <c r="F54" i="41" s="1"/>
  <c r="B90" i="41"/>
  <c r="F47" i="41" a="1"/>
  <c r="F47" i="41" s="1"/>
  <c r="F220" i="23" s="1"/>
  <c r="F21" i="41" a="1"/>
  <c r="F21" i="41" s="1"/>
  <c r="F22" i="41" s="1"/>
  <c r="F157" i="23" s="1"/>
  <c r="F27" i="41" a="1"/>
  <c r="F27" i="41" s="1"/>
  <c r="F28" i="41" s="1"/>
  <c r="F177" i="23" s="1"/>
  <c r="F179" i="23" s="1" a="1"/>
  <c r="F179" i="23" s="1"/>
  <c r="F13" i="41" a="1"/>
  <c r="F13" i="41" s="1"/>
  <c r="F7" i="23" s="1"/>
  <c r="F40" i="41" a="1"/>
  <c r="F40" i="41" s="1"/>
  <c r="F133" i="23" s="1"/>
  <c r="F12" i="41" a="1"/>
  <c r="F12" i="41" s="1"/>
  <c r="F33" i="41" a="1"/>
  <c r="F33" i="41" s="1"/>
  <c r="F15" i="23" s="1"/>
  <c r="F41" i="41" a="1"/>
  <c r="F41" i="41" s="1"/>
  <c r="F153" i="23" s="1"/>
  <c r="F11" i="41" a="1"/>
  <c r="F11" i="41" s="1"/>
  <c r="F16" i="41" a="1"/>
  <c r="F16" i="41" s="1"/>
  <c r="F34" i="41" a="1"/>
  <c r="F34" i="41" s="1"/>
  <c r="F22" i="23" s="1"/>
  <c r="F42" i="41" a="1"/>
  <c r="F42" i="41" s="1"/>
  <c r="F165" i="23" s="1"/>
  <c r="F30" i="41" a="1"/>
  <c r="F30" i="41" s="1"/>
  <c r="F17" i="41" a="1"/>
  <c r="F17" i="41" s="1"/>
  <c r="F35" i="41" a="1"/>
  <c r="F35" i="41" s="1"/>
  <c r="F43" i="23" s="1"/>
  <c r="F43" i="41" a="1"/>
  <c r="F43" i="41" s="1"/>
  <c r="F172" i="23" s="1"/>
  <c r="F19" i="41" a="1"/>
  <c r="F19" i="41" s="1"/>
  <c r="F36" i="41" a="1"/>
  <c r="F36" i="41" s="1"/>
  <c r="F53" i="23" s="1"/>
  <c r="F44" i="41" a="1"/>
  <c r="F44" i="41" s="1"/>
  <c r="F195" i="23" s="1"/>
  <c r="F23" i="41" a="1"/>
  <c r="F23" i="41" s="1"/>
  <c r="F37" i="41" a="1"/>
  <c r="F37" i="41" s="1"/>
  <c r="F73" i="23" s="1"/>
  <c r="F45" i="41" a="1"/>
  <c r="F45" i="41" s="1"/>
  <c r="F201" i="23" s="1"/>
  <c r="F46" i="41" a="1"/>
  <c r="F46" i="41" s="1"/>
  <c r="F211" i="23" s="1"/>
  <c r="F25" i="41" a="1"/>
  <c r="F25" i="41" s="1"/>
  <c r="F38" i="41" a="1"/>
  <c r="F38" i="41" s="1"/>
  <c r="F93" i="23" s="1"/>
  <c r="F8" i="41" a="1"/>
  <c r="F8" i="41" s="1"/>
  <c r="F29" i="41" a="1"/>
  <c r="F29" i="41" s="1"/>
  <c r="F39" i="41" a="1"/>
  <c r="F39" i="41" s="1"/>
  <c r="F113" i="23" s="1"/>
  <c r="H182" i="8"/>
  <c r="I182" i="8" s="1"/>
  <c r="H181" i="8"/>
  <c r="I181" i="8" s="1"/>
  <c r="H180" i="8"/>
  <c r="I180" i="8" s="1"/>
  <c r="H178" i="8"/>
  <c r="I178" i="8" s="1"/>
  <c r="H141" i="8"/>
  <c r="I141" i="8" s="1"/>
  <c r="H159" i="8"/>
  <c r="I159" i="8" s="1"/>
  <c r="H136" i="8"/>
  <c r="I136" i="8" s="1"/>
  <c r="H129" i="8"/>
  <c r="I129" i="8" s="1"/>
  <c r="H137" i="8"/>
  <c r="I137" i="8" s="1"/>
  <c r="H145" i="8"/>
  <c r="I145" i="8" s="1"/>
  <c r="H153" i="8"/>
  <c r="I153" i="8" s="1"/>
  <c r="H149" i="8"/>
  <c r="I149" i="8" s="1"/>
  <c r="H151" i="8"/>
  <c r="I151" i="8" s="1"/>
  <c r="H152" i="8"/>
  <c r="I152" i="8" s="1"/>
  <c r="H130" i="8"/>
  <c r="I130" i="8" s="1"/>
  <c r="H138" i="8"/>
  <c r="I138" i="8" s="1"/>
  <c r="H146" i="8"/>
  <c r="I146" i="8" s="1"/>
  <c r="H154" i="8"/>
  <c r="I154" i="8" s="1"/>
  <c r="H133" i="8"/>
  <c r="I133" i="8" s="1"/>
  <c r="H127" i="8"/>
  <c r="I127" i="8" s="1"/>
  <c r="H143" i="8"/>
  <c r="I143" i="8" s="1"/>
  <c r="H128" i="8"/>
  <c r="I128" i="8" s="1"/>
  <c r="H144" i="8"/>
  <c r="I144" i="8" s="1"/>
  <c r="H131" i="8"/>
  <c r="I131" i="8" s="1"/>
  <c r="H139" i="8"/>
  <c r="I139" i="8" s="1"/>
  <c r="H147" i="8"/>
  <c r="I147" i="8" s="1"/>
  <c r="H155" i="8"/>
  <c r="I155" i="8" s="1"/>
  <c r="H132" i="8"/>
  <c r="I132" i="8" s="1"/>
  <c r="H140" i="8"/>
  <c r="I140" i="8" s="1"/>
  <c r="H148" i="8"/>
  <c r="I148" i="8" s="1"/>
  <c r="H156" i="8"/>
  <c r="I156" i="8" s="1"/>
  <c r="H157" i="8"/>
  <c r="I157" i="8" s="1"/>
  <c r="H134" i="8"/>
  <c r="I134" i="8" s="1"/>
  <c r="H142" i="8"/>
  <c r="I142" i="8" s="1"/>
  <c r="H150" i="8"/>
  <c r="I150" i="8" s="1"/>
  <c r="H158" i="8"/>
  <c r="I158" i="8" s="1"/>
  <c r="D51" i="35"/>
  <c r="F51" i="35"/>
  <c r="G51" i="35"/>
  <c r="I51" i="35"/>
  <c r="D47" i="35"/>
  <c r="F47" i="35"/>
  <c r="G47" i="35"/>
  <c r="I47" i="35"/>
  <c r="D25" i="35"/>
  <c r="F160" i="23" l="1" a="1"/>
  <c r="F160" i="23" s="1"/>
  <c r="F163" i="23" a="1"/>
  <c r="F163" i="23" s="1"/>
  <c r="D88" i="41"/>
  <c r="G91" i="41"/>
  <c r="G95" i="41"/>
  <c r="D95" i="41"/>
  <c r="D91" i="41"/>
  <c r="F1" i="8"/>
  <c r="F180" i="23" a="1"/>
  <c r="F180" i="23" s="1"/>
  <c r="F6" i="23"/>
  <c r="F205" i="23"/>
  <c r="F199" i="23"/>
  <c r="F219" i="23"/>
  <c r="F221" i="23" s="1"/>
  <c r="F14" i="41"/>
  <c r="F1" i="41"/>
  <c r="F1" i="35"/>
  <c r="F1" i="23"/>
  <c r="F48" i="23"/>
  <c r="F181" i="23" l="1"/>
  <c r="F159" i="23"/>
  <c r="F161" i="23" s="1"/>
  <c r="F166" i="23" s="1"/>
  <c r="I89" i="35"/>
  <c r="H89" i="35"/>
  <c r="G89" i="35"/>
  <c r="F89" i="35"/>
  <c r="D89" i="35"/>
  <c r="I88" i="35"/>
  <c r="G88" i="35"/>
  <c r="F88" i="35"/>
  <c r="D88" i="35"/>
  <c r="I85" i="35"/>
  <c r="H85" i="35"/>
  <c r="G85" i="35"/>
  <c r="F85" i="35"/>
  <c r="D85" i="35"/>
  <c r="I84" i="35"/>
  <c r="G84" i="35"/>
  <c r="F84" i="35"/>
  <c r="D84" i="35"/>
  <c r="J77" i="35"/>
  <c r="J78" i="35" s="1"/>
  <c r="J81" i="35" s="1"/>
  <c r="I77" i="35"/>
  <c r="H77" i="35"/>
  <c r="G77" i="35"/>
  <c r="F77" i="35"/>
  <c r="D77" i="35"/>
  <c r="I67" i="35"/>
  <c r="G67" i="35"/>
  <c r="F67" i="35"/>
  <c r="D67" i="35"/>
  <c r="G63" i="35"/>
  <c r="F63" i="35"/>
  <c r="D63" i="35"/>
  <c r="G60" i="35"/>
  <c r="F60" i="35"/>
  <c r="D60" i="35"/>
  <c r="G56" i="35"/>
  <c r="F56" i="35"/>
  <c r="D56" i="35"/>
  <c r="G42" i="35"/>
  <c r="D42" i="35"/>
  <c r="G24" i="35"/>
  <c r="G23" i="35"/>
  <c r="G22" i="35"/>
  <c r="G21" i="35"/>
  <c r="G20" i="35"/>
  <c r="G19" i="35"/>
  <c r="G18" i="35"/>
  <c r="G17" i="35"/>
  <c r="G16" i="35"/>
  <c r="G15" i="35"/>
  <c r="G14" i="35"/>
  <c r="G13" i="35"/>
  <c r="G12" i="35"/>
  <c r="G11" i="35"/>
  <c r="G10" i="35"/>
  <c r="F202" i="23"/>
  <c r="G190" i="23"/>
  <c r="F190" i="23"/>
  <c r="D190" i="23"/>
  <c r="G149" i="23"/>
  <c r="F149" i="23"/>
  <c r="D149" i="23"/>
  <c r="G148" i="23"/>
  <c r="F148" i="23"/>
  <c r="D148" i="23"/>
  <c r="G147" i="23"/>
  <c r="F147" i="23"/>
  <c r="D147" i="23"/>
  <c r="G139" i="23"/>
  <c r="F139" i="23"/>
  <c r="D139" i="23"/>
  <c r="G138" i="23"/>
  <c r="D138" i="23"/>
  <c r="G129" i="23"/>
  <c r="F129" i="23"/>
  <c r="D129" i="23"/>
  <c r="G128" i="23"/>
  <c r="F128" i="23"/>
  <c r="D128" i="23"/>
  <c r="G127" i="23"/>
  <c r="F127" i="23"/>
  <c r="D127" i="23"/>
  <c r="G119" i="23"/>
  <c r="F119" i="23"/>
  <c r="D119" i="23"/>
  <c r="G118" i="23"/>
  <c r="D118" i="23"/>
  <c r="G109" i="23"/>
  <c r="F109" i="23"/>
  <c r="D109" i="23"/>
  <c r="G108" i="23"/>
  <c r="F108" i="23"/>
  <c r="D108" i="23"/>
  <c r="G107" i="23"/>
  <c r="F107" i="23"/>
  <c r="D107" i="23"/>
  <c r="G99" i="23"/>
  <c r="F99" i="23"/>
  <c r="D99" i="23"/>
  <c r="G98" i="23"/>
  <c r="D98" i="23"/>
  <c r="G89" i="23"/>
  <c r="F89" i="23"/>
  <c r="D89" i="23"/>
  <c r="G88" i="23"/>
  <c r="F88" i="23"/>
  <c r="D88" i="23"/>
  <c r="G87" i="23"/>
  <c r="F87" i="23"/>
  <c r="D87" i="23"/>
  <c r="G79" i="23"/>
  <c r="F79" i="23"/>
  <c r="D79" i="23"/>
  <c r="G78" i="23"/>
  <c r="D78" i="23"/>
  <c r="G69" i="23"/>
  <c r="F69" i="23"/>
  <c r="D69" i="23"/>
  <c r="G68" i="23"/>
  <c r="F68" i="23"/>
  <c r="D68" i="23"/>
  <c r="G67" i="23"/>
  <c r="F67" i="23"/>
  <c r="D67" i="23"/>
  <c r="G59" i="23"/>
  <c r="F59" i="23"/>
  <c r="D59" i="23"/>
  <c r="G58" i="23"/>
  <c r="D58" i="23"/>
  <c r="G51" i="23"/>
  <c r="D51" i="23"/>
  <c r="G47" i="23"/>
  <c r="F47" i="23"/>
  <c r="D47" i="23"/>
  <c r="G33" i="23"/>
  <c r="F33" i="23"/>
  <c r="D33" i="23"/>
  <c r="G21" i="23"/>
  <c r="F21" i="23"/>
  <c r="D21" i="23"/>
  <c r="G19" i="23"/>
  <c r="D19" i="23"/>
  <c r="G5" i="23"/>
  <c r="F5" i="23"/>
  <c r="D5" i="23"/>
  <c r="G193" i="8"/>
  <c r="F193" i="8"/>
  <c r="F197" i="8" s="1"/>
  <c r="D193" i="8"/>
  <c r="G105" i="8"/>
  <c r="F105" i="8"/>
  <c r="G110" i="8" s="1"/>
  <c r="D105" i="8"/>
  <c r="G87" i="8"/>
  <c r="F87" i="8"/>
  <c r="F93" i="8" s="1"/>
  <c r="D87" i="8"/>
  <c r="G50" i="8"/>
  <c r="F50" i="8"/>
  <c r="D50" i="8"/>
  <c r="G18" i="8"/>
  <c r="F18" i="8"/>
  <c r="G27" i="8" s="1"/>
  <c r="D18" i="8"/>
  <c r="F82" i="41" l="1"/>
  <c r="F169" i="23"/>
  <c r="F173" i="23" s="1"/>
  <c r="F108" i="8"/>
  <c r="H108" i="8"/>
  <c r="I92" i="8"/>
  <c r="G93" i="8"/>
  <c r="G24" i="8"/>
  <c r="H89" i="8"/>
  <c r="G195" i="8"/>
  <c r="G197" i="8"/>
  <c r="H197" i="8"/>
  <c r="G28" i="8"/>
  <c r="F90" i="8"/>
  <c r="F196" i="8"/>
  <c r="F198" i="8"/>
  <c r="G90" i="8"/>
  <c r="H196" i="8"/>
  <c r="G21" i="8"/>
  <c r="H91" i="8"/>
  <c r="G198" i="8"/>
  <c r="H198" i="8"/>
  <c r="F92" i="8"/>
  <c r="F110" i="8"/>
  <c r="G22" i="8"/>
  <c r="I90" i="8"/>
  <c r="H93" i="8"/>
  <c r="G23" i="8"/>
  <c r="G91" i="8"/>
  <c r="I93" i="8"/>
  <c r="G26" i="8"/>
  <c r="G89" i="8"/>
  <c r="I91" i="8"/>
  <c r="I89" i="8"/>
  <c r="G92" i="8"/>
  <c r="J89" i="35"/>
  <c r="J85" i="35"/>
  <c r="G68" i="8"/>
  <c r="G60" i="8"/>
  <c r="G66" i="8"/>
  <c r="G58" i="8"/>
  <c r="G61" i="8"/>
  <c r="G65" i="8"/>
  <c r="G57" i="8"/>
  <c r="G53" i="8"/>
  <c r="G64" i="8"/>
  <c r="G56" i="8"/>
  <c r="G63" i="8"/>
  <c r="G55" i="8"/>
  <c r="G62" i="8"/>
  <c r="G54" i="8"/>
  <c r="G59" i="8"/>
  <c r="G67" i="8"/>
  <c r="G25" i="8"/>
  <c r="H90" i="8"/>
  <c r="H92" i="8"/>
  <c r="I108" i="8"/>
  <c r="I110" i="8"/>
  <c r="F195" i="8"/>
  <c r="F107" i="8"/>
  <c r="F109" i="8"/>
  <c r="F111" i="8"/>
  <c r="F89" i="8"/>
  <c r="F91" i="8"/>
  <c r="G107" i="8"/>
  <c r="G109" i="8"/>
  <c r="G111" i="8"/>
  <c r="H195" i="8"/>
  <c r="H107" i="8"/>
  <c r="H109" i="8"/>
  <c r="H111" i="8"/>
  <c r="H110" i="8"/>
  <c r="I107" i="8"/>
  <c r="I109" i="8"/>
  <c r="I111" i="8"/>
  <c r="G196" i="8"/>
  <c r="G108" i="8"/>
  <c r="F28" i="23"/>
  <c r="F189" i="23" l="1"/>
  <c r="F183" i="23"/>
  <c r="F186" i="23" s="1"/>
  <c r="F20" i="35"/>
  <c r="F83" i="41"/>
  <c r="F19" i="35"/>
  <c r="A1" i="38"/>
  <c r="B9" i="35" l="1"/>
  <c r="B72" i="41" l="1"/>
  <c r="F78" i="23"/>
  <c r="F98" i="23"/>
  <c r="F19" i="23"/>
  <c r="F118" i="23"/>
  <c r="F51" i="23"/>
  <c r="F138" i="23"/>
  <c r="F58" i="23"/>
  <c r="F64" i="23" l="1"/>
  <c r="A1" i="8"/>
  <c r="A1" i="23"/>
  <c r="F38" i="23"/>
  <c r="F41" i="23" s="1"/>
  <c r="D221" i="23"/>
  <c r="D212" i="23"/>
  <c r="D202" i="23"/>
  <c r="D85" i="41" s="1"/>
  <c r="D196" i="23"/>
  <c r="D173" i="23"/>
  <c r="D166" i="23"/>
  <c r="D154" i="23"/>
  <c r="D134" i="23"/>
  <c r="D114" i="23"/>
  <c r="D94" i="23"/>
  <c r="D74" i="23"/>
  <c r="D54" i="23"/>
  <c r="D44" i="23"/>
  <c r="D23" i="23"/>
  <c r="D16" i="23"/>
  <c r="F191" i="23"/>
  <c r="F52" i="23"/>
  <c r="K2" i="35"/>
  <c r="K77" i="35" s="1"/>
  <c r="K78" i="35" s="1"/>
  <c r="K81" i="35" s="1"/>
  <c r="H43" i="35"/>
  <c r="H30" i="35"/>
  <c r="A1" i="35"/>
  <c r="D18" i="35" l="1"/>
  <c r="D81" i="41"/>
  <c r="D11" i="35"/>
  <c r="D74" i="41"/>
  <c r="D19" i="35"/>
  <c r="D82" i="41"/>
  <c r="D12" i="35"/>
  <c r="D75" i="41"/>
  <c r="D20" i="35"/>
  <c r="D83" i="41"/>
  <c r="D16" i="35"/>
  <c r="D79" i="41"/>
  <c r="D13" i="35"/>
  <c r="D76" i="41"/>
  <c r="D21" i="35"/>
  <c r="D84" i="41"/>
  <c r="D14" i="35"/>
  <c r="D77" i="41"/>
  <c r="D15" i="35"/>
  <c r="D78" i="41"/>
  <c r="D23" i="35"/>
  <c r="D86" i="41"/>
  <c r="D24" i="35"/>
  <c r="D87" i="41"/>
  <c r="D17" i="35"/>
  <c r="D80" i="41"/>
  <c r="D10" i="35"/>
  <c r="D73" i="41"/>
  <c r="F101" i="41"/>
  <c r="K89" i="35"/>
  <c r="K85" i="35"/>
  <c r="D22" i="35"/>
  <c r="L2" i="35"/>
  <c r="L77" i="35" s="1"/>
  <c r="L78" i="35" s="1"/>
  <c r="L81" i="35" s="1"/>
  <c r="F124" i="23"/>
  <c r="F140" i="23"/>
  <c r="F80" i="23"/>
  <c r="F60" i="23"/>
  <c r="F144" i="23"/>
  <c r="F100" i="23"/>
  <c r="F120" i="23"/>
  <c r="L89" i="35" l="1"/>
  <c r="L85" i="35"/>
  <c r="M2" i="35"/>
  <c r="M77" i="35" s="1"/>
  <c r="M78" i="35" s="1"/>
  <c r="M81" i="35" s="1"/>
  <c r="F104" i="23"/>
  <c r="F84" i="23"/>
  <c r="M85" i="35" l="1"/>
  <c r="M89" i="35"/>
  <c r="N2" i="35"/>
  <c r="N77" i="35" s="1"/>
  <c r="N78" i="35" s="1"/>
  <c r="N81" i="35" s="1"/>
  <c r="N89" i="35" l="1"/>
  <c r="N85" i="35"/>
  <c r="O2" i="35"/>
  <c r="O77" i="35" s="1"/>
  <c r="O78" i="35" s="1"/>
  <c r="O81" i="35" s="1"/>
  <c r="F85" i="41"/>
  <c r="F208" i="23"/>
  <c r="F212" i="23" l="1"/>
  <c r="F23" i="35" s="1"/>
  <c r="O85" i="35"/>
  <c r="O89" i="35"/>
  <c r="F22" i="35"/>
  <c r="P2" i="35"/>
  <c r="P77" i="35" s="1"/>
  <c r="P78" i="35" s="1"/>
  <c r="P81" i="35" s="1"/>
  <c r="F61" i="23"/>
  <c r="F87" i="41"/>
  <c r="F192" i="23"/>
  <c r="F9" i="23"/>
  <c r="F20" i="23"/>
  <c r="F23" i="23" s="1"/>
  <c r="F196" i="23" l="1"/>
  <c r="F86" i="41"/>
  <c r="P89" i="35"/>
  <c r="P85" i="35"/>
  <c r="F24" i="35"/>
  <c r="Q2" i="35"/>
  <c r="Q77" i="35" s="1"/>
  <c r="Q78" i="35" s="1"/>
  <c r="Q81" i="35" s="1"/>
  <c r="F74" i="41"/>
  <c r="F121" i="23"/>
  <c r="F141" i="23"/>
  <c r="F101" i="23"/>
  <c r="F81" i="23"/>
  <c r="F12" i="23"/>
  <c r="F105" i="23"/>
  <c r="F110" i="23" s="1"/>
  <c r="F85" i="23"/>
  <c r="F90" i="23" s="1"/>
  <c r="F65" i="23"/>
  <c r="F70" i="23" s="1"/>
  <c r="F74" i="23" s="1"/>
  <c r="F125" i="23"/>
  <c r="F130" i="23" s="1"/>
  <c r="F145" i="23"/>
  <c r="F150" i="23" s="1"/>
  <c r="F49" i="23"/>
  <c r="F54" i="23" s="1"/>
  <c r="F21" i="35" l="1"/>
  <c r="F94" i="23"/>
  <c r="F78" i="41" s="1"/>
  <c r="F84" i="41"/>
  <c r="F114" i="23"/>
  <c r="F79" i="41" s="1"/>
  <c r="F154" i="23"/>
  <c r="F81" i="41" s="1"/>
  <c r="F44" i="23"/>
  <c r="F134" i="23"/>
  <c r="F80" i="41" s="1"/>
  <c r="F16" i="23"/>
  <c r="Q85" i="35"/>
  <c r="Q89" i="35"/>
  <c r="F11" i="35"/>
  <c r="R2" i="35"/>
  <c r="R77" i="35" s="1"/>
  <c r="R78" i="35" s="1"/>
  <c r="R81" i="35" s="1"/>
  <c r="F76" i="41"/>
  <c r="F77" i="41"/>
  <c r="F73" i="41" l="1"/>
  <c r="F34" i="35"/>
  <c r="F36" i="35" s="1"/>
  <c r="F29" i="35"/>
  <c r="F12" i="35"/>
  <c r="F75" i="41"/>
  <c r="R89" i="35"/>
  <c r="R85" i="35"/>
  <c r="F10" i="35"/>
  <c r="F16" i="35"/>
  <c r="F18" i="35"/>
  <c r="F15" i="35"/>
  <c r="F14" i="35"/>
  <c r="F13" i="35"/>
  <c r="F17" i="35"/>
  <c r="S2" i="35"/>
  <c r="S77" i="35" s="1"/>
  <c r="S78" i="35" s="1"/>
  <c r="S81" i="35" s="1"/>
  <c r="AK31" i="35" l="1"/>
  <c r="AK47" i="35" s="1"/>
  <c r="AC31" i="35"/>
  <c r="AC47" i="35" s="1"/>
  <c r="U31" i="35"/>
  <c r="U47" i="35" s="1"/>
  <c r="M31" i="35"/>
  <c r="M47" i="35" s="1"/>
  <c r="AJ31" i="35"/>
  <c r="AJ47" i="35" s="1"/>
  <c r="AB31" i="35"/>
  <c r="AB47" i="35" s="1"/>
  <c r="T31" i="35"/>
  <c r="T47" i="35" s="1"/>
  <c r="L31" i="35"/>
  <c r="L47" i="35" s="1"/>
  <c r="AI31" i="35"/>
  <c r="AI47" i="35" s="1"/>
  <c r="AA31" i="35"/>
  <c r="AA47" i="35" s="1"/>
  <c r="S31" i="35"/>
  <c r="S47" i="35" s="1"/>
  <c r="K31" i="35"/>
  <c r="K47" i="35" s="1"/>
  <c r="O31" i="35"/>
  <c r="O47" i="35" s="1"/>
  <c r="V31" i="35"/>
  <c r="V47" i="35" s="1"/>
  <c r="AH31" i="35"/>
  <c r="AH47" i="35" s="1"/>
  <c r="Z31" i="35"/>
  <c r="Z47" i="35" s="1"/>
  <c r="R31" i="35"/>
  <c r="R47" i="35" s="1"/>
  <c r="J31" i="35"/>
  <c r="AE31" i="35"/>
  <c r="AE47" i="35" s="1"/>
  <c r="AG31" i="35"/>
  <c r="AG47" i="35" s="1"/>
  <c r="Y31" i="35"/>
  <c r="Y47" i="35" s="1"/>
  <c r="Q31" i="35"/>
  <c r="Q47" i="35" s="1"/>
  <c r="W31" i="35"/>
  <c r="W47" i="35" s="1"/>
  <c r="AD31" i="35"/>
  <c r="AD47" i="35" s="1"/>
  <c r="AN31" i="35"/>
  <c r="AN47" i="35" s="1"/>
  <c r="AF31" i="35"/>
  <c r="AF47" i="35" s="1"/>
  <c r="X31" i="35"/>
  <c r="X47" i="35" s="1"/>
  <c r="P31" i="35"/>
  <c r="P47" i="35" s="1"/>
  <c r="AM31" i="35"/>
  <c r="AM47" i="35" s="1"/>
  <c r="AL31" i="35"/>
  <c r="AL47" i="35" s="1"/>
  <c r="N31" i="35"/>
  <c r="N47" i="35" s="1"/>
  <c r="P39" i="35"/>
  <c r="P48" i="35" s="1"/>
  <c r="R39" i="35"/>
  <c r="R48" i="35" s="1"/>
  <c r="AB39" i="35"/>
  <c r="AB48" i="35" s="1"/>
  <c r="Q39" i="35"/>
  <c r="Q48" i="35" s="1"/>
  <c r="Y39" i="35"/>
  <c r="Y48" i="35" s="1"/>
  <c r="AD39" i="35"/>
  <c r="AD48" i="35" s="1"/>
  <c r="AL39" i="35"/>
  <c r="AL48" i="35" s="1"/>
  <c r="AJ39" i="35"/>
  <c r="AJ48" i="35" s="1"/>
  <c r="S39" i="35"/>
  <c r="S48" i="35" s="1"/>
  <c r="N39" i="35"/>
  <c r="N48" i="35" s="1"/>
  <c r="X39" i="35"/>
  <c r="X48" i="35" s="1"/>
  <c r="L39" i="35"/>
  <c r="L48" i="35" s="1"/>
  <c r="AG39" i="35"/>
  <c r="AG48" i="35" s="1"/>
  <c r="AK39" i="35"/>
  <c r="AK48" i="35" s="1"/>
  <c r="T39" i="35"/>
  <c r="T48" i="35" s="1"/>
  <c r="AC39" i="35"/>
  <c r="AC48" i="35" s="1"/>
  <c r="K39" i="35"/>
  <c r="K48" i="35" s="1"/>
  <c r="O39" i="35"/>
  <c r="O48" i="35" s="1"/>
  <c r="AI39" i="35"/>
  <c r="AI48" i="35" s="1"/>
  <c r="AE39" i="35"/>
  <c r="AE48" i="35" s="1"/>
  <c r="AA39" i="35"/>
  <c r="AA48" i="35" s="1"/>
  <c r="AM39" i="35"/>
  <c r="AM48" i="35" s="1"/>
  <c r="U39" i="35"/>
  <c r="U48" i="35" s="1"/>
  <c r="M39" i="35"/>
  <c r="M48" i="35" s="1"/>
  <c r="AH39" i="35"/>
  <c r="AH48" i="35" s="1"/>
  <c r="AN39" i="35"/>
  <c r="AN48" i="35" s="1"/>
  <c r="Z39" i="35"/>
  <c r="Z48" i="35" s="1"/>
  <c r="AF39" i="35"/>
  <c r="AF48" i="35" s="1"/>
  <c r="V39" i="35"/>
  <c r="V48" i="35" s="1"/>
  <c r="W39" i="35"/>
  <c r="W48" i="35" s="1"/>
  <c r="J39" i="35"/>
  <c r="S85" i="35"/>
  <c r="S89" i="35"/>
  <c r="T2" i="35"/>
  <c r="T77" i="35" s="1"/>
  <c r="T78" i="35" s="1"/>
  <c r="T81" i="35" s="1"/>
  <c r="F25" i="35"/>
  <c r="AN49" i="35" l="1"/>
  <c r="AN84" i="35" s="1"/>
  <c r="R49" i="35"/>
  <c r="R67" i="35" s="1"/>
  <c r="M49" i="35"/>
  <c r="M67" i="35" s="1"/>
  <c r="Y49" i="35"/>
  <c r="Y84" i="35" s="1"/>
  <c r="X49" i="35"/>
  <c r="X84" i="35" s="1"/>
  <c r="AG49" i="35"/>
  <c r="AG84" i="35" s="1"/>
  <c r="AF49" i="35"/>
  <c r="AF84" i="35" s="1"/>
  <c r="AK49" i="35"/>
  <c r="AK67" i="35" s="1"/>
  <c r="U49" i="35"/>
  <c r="U67" i="35" s="1"/>
  <c r="AB49" i="35"/>
  <c r="AB67" i="35" s="1"/>
  <c r="N49" i="35"/>
  <c r="N67" i="35" s="1"/>
  <c r="Q49" i="35"/>
  <c r="Q67" i="35" s="1"/>
  <c r="AJ49" i="35"/>
  <c r="K49" i="35"/>
  <c r="AA49" i="35"/>
  <c r="AD49" i="35"/>
  <c r="AM49" i="35"/>
  <c r="S49" i="35"/>
  <c r="P49" i="35"/>
  <c r="Z49" i="35"/>
  <c r="AI49" i="35"/>
  <c r="AL49" i="35"/>
  <c r="L49" i="35"/>
  <c r="V49" i="35"/>
  <c r="AH49" i="35"/>
  <c r="J47" i="35"/>
  <c r="H31" i="35"/>
  <c r="J48" i="35"/>
  <c r="H39" i="35"/>
  <c r="AE49" i="35"/>
  <c r="W49" i="35"/>
  <c r="O49" i="35"/>
  <c r="T49" i="35"/>
  <c r="AC49" i="35"/>
  <c r="F88" i="41"/>
  <c r="H16" i="35"/>
  <c r="T89" i="35"/>
  <c r="T85" i="35"/>
  <c r="H10" i="35"/>
  <c r="F42" i="35"/>
  <c r="H20" i="35"/>
  <c r="H19" i="35"/>
  <c r="H23" i="35"/>
  <c r="H22" i="35"/>
  <c r="H21" i="35"/>
  <c r="H24" i="35"/>
  <c r="H12" i="35"/>
  <c r="H11" i="35"/>
  <c r="H13" i="35"/>
  <c r="H18" i="35"/>
  <c r="H14" i="35"/>
  <c r="H17" i="35"/>
  <c r="H15" i="35"/>
  <c r="U2" i="35"/>
  <c r="U77" i="35" s="1"/>
  <c r="U78" i="35" s="1"/>
  <c r="U81" i="35" s="1"/>
  <c r="Y67" i="35" l="1"/>
  <c r="Q84" i="35"/>
  <c r="R84" i="35"/>
  <c r="AN67" i="35"/>
  <c r="M84" i="35"/>
  <c r="X67" i="35"/>
  <c r="AG67" i="35"/>
  <c r="AK84" i="35"/>
  <c r="U84" i="35"/>
  <c r="AF67" i="35"/>
  <c r="N84" i="35"/>
  <c r="AB84" i="35"/>
  <c r="AC67" i="35"/>
  <c r="AC84" i="35"/>
  <c r="T67" i="35"/>
  <c r="T84" i="35"/>
  <c r="H59" i="35"/>
  <c r="H48" i="35"/>
  <c r="H55" i="35"/>
  <c r="AA67" i="35"/>
  <c r="AA84" i="35"/>
  <c r="S84" i="35"/>
  <c r="S67" i="35"/>
  <c r="H56" i="35"/>
  <c r="H47" i="35"/>
  <c r="H63" i="35"/>
  <c r="L84" i="35"/>
  <c r="L67" i="35"/>
  <c r="J49" i="35"/>
  <c r="AM84" i="35"/>
  <c r="AM67" i="35"/>
  <c r="AL67" i="35"/>
  <c r="AL84" i="35"/>
  <c r="K84" i="35"/>
  <c r="K67" i="35"/>
  <c r="Z84" i="35"/>
  <c r="Z67" i="35"/>
  <c r="AH84" i="35"/>
  <c r="AH67" i="35"/>
  <c r="P67" i="35"/>
  <c r="P84" i="35"/>
  <c r="AJ84" i="35"/>
  <c r="AJ67" i="35"/>
  <c r="O84" i="35"/>
  <c r="O67" i="35"/>
  <c r="W67" i="35"/>
  <c r="W84" i="35"/>
  <c r="V67" i="35"/>
  <c r="V84" i="35"/>
  <c r="AD67" i="35"/>
  <c r="AD84" i="35"/>
  <c r="AE84" i="35"/>
  <c r="AE67" i="35"/>
  <c r="AI84" i="35"/>
  <c r="AI67" i="35"/>
  <c r="U89" i="35"/>
  <c r="U85" i="35"/>
  <c r="AK44" i="35"/>
  <c r="AK51" i="35" s="1"/>
  <c r="AK52" i="35" s="1"/>
  <c r="AK70" i="35" s="1"/>
  <c r="AC44" i="35"/>
  <c r="AC51" i="35" s="1"/>
  <c r="AC52" i="35" s="1"/>
  <c r="AC70" i="35" s="1"/>
  <c r="U44" i="35"/>
  <c r="U51" i="35" s="1"/>
  <c r="U52" i="35" s="1"/>
  <c r="U70" i="35" s="1"/>
  <c r="M44" i="35"/>
  <c r="M51" i="35" s="1"/>
  <c r="M52" i="35" s="1"/>
  <c r="M70" i="35" s="1"/>
  <c r="AJ44" i="35"/>
  <c r="AJ51" i="35" s="1"/>
  <c r="AJ52" i="35" s="1"/>
  <c r="AJ70" i="35" s="1"/>
  <c r="AI44" i="35"/>
  <c r="AI51" i="35" s="1"/>
  <c r="AI52" i="35" s="1"/>
  <c r="AI70" i="35" s="1"/>
  <c r="AA44" i="35"/>
  <c r="AA51" i="35" s="1"/>
  <c r="AA52" i="35" s="1"/>
  <c r="AA70" i="35" s="1"/>
  <c r="S44" i="35"/>
  <c r="S51" i="35" s="1"/>
  <c r="S52" i="35" s="1"/>
  <c r="S70" i="35" s="1"/>
  <c r="K44" i="35"/>
  <c r="K51" i="35" s="1"/>
  <c r="K52" i="35" s="1"/>
  <c r="K70" i="35" s="1"/>
  <c r="AH44" i="35"/>
  <c r="AH51" i="35" s="1"/>
  <c r="AH52" i="35" s="1"/>
  <c r="AH70" i="35" s="1"/>
  <c r="Z44" i="35"/>
  <c r="Z51" i="35" s="1"/>
  <c r="Z52" i="35" s="1"/>
  <c r="Z70" i="35" s="1"/>
  <c r="R44" i="35"/>
  <c r="R51" i="35" s="1"/>
  <c r="R52" i="35" s="1"/>
  <c r="R70" i="35" s="1"/>
  <c r="J44" i="35"/>
  <c r="V44" i="35"/>
  <c r="V51" i="35" s="1"/>
  <c r="V52" i="35" s="1"/>
  <c r="V70" i="35" s="1"/>
  <c r="AG44" i="35"/>
  <c r="AG51" i="35" s="1"/>
  <c r="AG52" i="35" s="1"/>
  <c r="AG70" i="35" s="1"/>
  <c r="Y44" i="35"/>
  <c r="Y51" i="35" s="1"/>
  <c r="Y52" i="35" s="1"/>
  <c r="Y70" i="35" s="1"/>
  <c r="Q44" i="35"/>
  <c r="Q51" i="35" s="1"/>
  <c r="Q52" i="35" s="1"/>
  <c r="Q70" i="35" s="1"/>
  <c r="AL44" i="35"/>
  <c r="AL51" i="35" s="1"/>
  <c r="AL52" i="35" s="1"/>
  <c r="AL70" i="35" s="1"/>
  <c r="AN44" i="35"/>
  <c r="AN51" i="35" s="1"/>
  <c r="AN52" i="35" s="1"/>
  <c r="AN70" i="35" s="1"/>
  <c r="AF44" i="35"/>
  <c r="AF51" i="35" s="1"/>
  <c r="AF52" i="35" s="1"/>
  <c r="AF70" i="35" s="1"/>
  <c r="X44" i="35"/>
  <c r="X51" i="35" s="1"/>
  <c r="X52" i="35" s="1"/>
  <c r="X70" i="35" s="1"/>
  <c r="P44" i="35"/>
  <c r="P51" i="35" s="1"/>
  <c r="P52" i="35" s="1"/>
  <c r="P70" i="35" s="1"/>
  <c r="AD44" i="35"/>
  <c r="AD51" i="35" s="1"/>
  <c r="AD52" i="35" s="1"/>
  <c r="AD70" i="35" s="1"/>
  <c r="AM44" i="35"/>
  <c r="AM51" i="35" s="1"/>
  <c r="AM52" i="35" s="1"/>
  <c r="AM70" i="35" s="1"/>
  <c r="AE44" i="35"/>
  <c r="AE51" i="35" s="1"/>
  <c r="AE52" i="35" s="1"/>
  <c r="AE70" i="35" s="1"/>
  <c r="W44" i="35"/>
  <c r="W51" i="35" s="1"/>
  <c r="W52" i="35" s="1"/>
  <c r="W70" i="35" s="1"/>
  <c r="O44" i="35"/>
  <c r="O51" i="35" s="1"/>
  <c r="O52" i="35" s="1"/>
  <c r="O70" i="35" s="1"/>
  <c r="N44" i="35"/>
  <c r="N51" i="35" s="1"/>
  <c r="N52" i="35" s="1"/>
  <c r="N70" i="35" s="1"/>
  <c r="AB44" i="35"/>
  <c r="AB51" i="35" s="1"/>
  <c r="AB52" i="35" s="1"/>
  <c r="AB70" i="35" s="1"/>
  <c r="T44" i="35"/>
  <c r="T51" i="35" s="1"/>
  <c r="T52" i="35" s="1"/>
  <c r="T70" i="35" s="1"/>
  <c r="L44" i="35"/>
  <c r="L51" i="35" s="1"/>
  <c r="L52" i="35" s="1"/>
  <c r="L70" i="35" s="1"/>
  <c r="V2" i="35"/>
  <c r="V77" i="35" s="1"/>
  <c r="V78" i="35" s="1"/>
  <c r="V81" i="35" s="1"/>
  <c r="H25" i="35"/>
  <c r="F57" i="35" l="1"/>
  <c r="F91" i="41"/>
  <c r="F92" i="41"/>
  <c r="H49" i="35"/>
  <c r="J84" i="35"/>
  <c r="J67" i="35"/>
  <c r="F68" i="35" s="1"/>
  <c r="J51" i="35"/>
  <c r="J52" i="35" s="1"/>
  <c r="H52" i="35" s="1"/>
  <c r="V89" i="35"/>
  <c r="V85" i="35"/>
  <c r="AE88" i="35"/>
  <c r="W88" i="35"/>
  <c r="AL88" i="35"/>
  <c r="Y88" i="35"/>
  <c r="S88" i="35"/>
  <c r="AH88" i="35"/>
  <c r="O88" i="35"/>
  <c r="AN88" i="35"/>
  <c r="Z88" i="35"/>
  <c r="U88" i="35"/>
  <c r="T88" i="35"/>
  <c r="K88" i="35"/>
  <c r="L88" i="35"/>
  <c r="AI88" i="35"/>
  <c r="AD88" i="35"/>
  <c r="M88" i="35"/>
  <c r="AK88" i="35"/>
  <c r="Q88" i="35"/>
  <c r="AJ88" i="35"/>
  <c r="AG88" i="35"/>
  <c r="AM88" i="35"/>
  <c r="AF88" i="35"/>
  <c r="P88" i="35"/>
  <c r="V88" i="35"/>
  <c r="X88" i="35"/>
  <c r="AC88" i="35"/>
  <c r="N88" i="35"/>
  <c r="AB88" i="35"/>
  <c r="R88" i="35"/>
  <c r="AA88" i="35"/>
  <c r="W2" i="35"/>
  <c r="W77" i="35" s="1"/>
  <c r="W78" i="35" s="1"/>
  <c r="W81" i="35" s="1"/>
  <c r="H44" i="35"/>
  <c r="F104" i="41" l="1"/>
  <c r="F107" i="41"/>
  <c r="H84" i="35"/>
  <c r="H67" i="35"/>
  <c r="F93" i="41"/>
  <c r="F96" i="41"/>
  <c r="H70" i="35"/>
  <c r="J88" i="35"/>
  <c r="J70" i="35"/>
  <c r="F71" i="35" s="1"/>
  <c r="H51" i="35"/>
  <c r="W85" i="35"/>
  <c r="W89" i="35"/>
  <c r="H88" i="35"/>
  <c r="H60" i="35"/>
  <c r="H61" i="35" s="1"/>
  <c r="F64" i="35" s="1"/>
  <c r="F105" i="41" s="1"/>
  <c r="X2" i="35"/>
  <c r="X77" i="35" s="1"/>
  <c r="X78" i="35" s="1"/>
  <c r="X81" i="35" s="1"/>
  <c r="F95" i="41" l="1"/>
  <c r="F108" i="41"/>
  <c r="X89" i="35"/>
  <c r="X85" i="35"/>
  <c r="Y2" i="35"/>
  <c r="Y77" i="35" s="1"/>
  <c r="Y78" i="35" s="1"/>
  <c r="Y81" i="35" s="1"/>
  <c r="Y89" i="35" l="1"/>
  <c r="Y85" i="35"/>
  <c r="Z2" i="35"/>
  <c r="Z77" i="35" s="1"/>
  <c r="Z78" i="35" s="1"/>
  <c r="Z81" i="35" s="1"/>
  <c r="Z85" i="35" l="1"/>
  <c r="Z89" i="35"/>
  <c r="AA2" i="35"/>
  <c r="AA77" i="35" s="1"/>
  <c r="AA78" i="35" s="1"/>
  <c r="AA81" i="35" s="1"/>
  <c r="AA89" i="35" l="1"/>
  <c r="AA85" i="35"/>
  <c r="AB2" i="35"/>
  <c r="AB77" i="35" s="1"/>
  <c r="AB78" i="35" s="1"/>
  <c r="AB81" i="35" s="1"/>
  <c r="AB85" i="35" l="1"/>
  <c r="AB89" i="35"/>
  <c r="AC2" i="35"/>
  <c r="AC77" i="35" s="1"/>
  <c r="AC78" i="35" s="1"/>
  <c r="AC81" i="35" s="1"/>
  <c r="AC89" i="35" l="1"/>
  <c r="AC85" i="35"/>
  <c r="AD2" i="35"/>
  <c r="AD77" i="35" s="1"/>
  <c r="AD78" i="35" s="1"/>
  <c r="AD81" i="35" s="1"/>
  <c r="AD85" i="35" l="1"/>
  <c r="AD89" i="35"/>
  <c r="AE2" i="35"/>
  <c r="AE77" i="35" s="1"/>
  <c r="AE78" i="35" s="1"/>
  <c r="AE81" i="35" s="1"/>
  <c r="AE89" i="35" l="1"/>
  <c r="AE85" i="35"/>
  <c r="AF2" i="35"/>
  <c r="AF77" i="35" s="1"/>
  <c r="AF78" i="35" s="1"/>
  <c r="AF81" i="35" s="1"/>
  <c r="AF85" i="35" l="1"/>
  <c r="AF89" i="35"/>
  <c r="AG2" i="35"/>
  <c r="AG77" i="35" s="1"/>
  <c r="AG78" i="35" s="1"/>
  <c r="AG81" i="35" s="1"/>
  <c r="AG85" i="35" l="1"/>
  <c r="AG89" i="35"/>
  <c r="AH2" i="35"/>
  <c r="AH77" i="35" s="1"/>
  <c r="AH78" i="35" s="1"/>
  <c r="AH81" i="35" s="1"/>
  <c r="AH89" i="35" l="1"/>
  <c r="AH85" i="35"/>
  <c r="AI2" i="35"/>
  <c r="AI77" i="35" s="1"/>
  <c r="AI78" i="35" s="1"/>
  <c r="AI81" i="35" s="1"/>
  <c r="AI85" i="35" l="1"/>
  <c r="AI89" i="35"/>
  <c r="AJ2" i="35"/>
  <c r="AJ77" i="35" s="1"/>
  <c r="AJ78" i="35" s="1"/>
  <c r="AJ81" i="35" s="1"/>
  <c r="AJ89" i="35" l="1"/>
  <c r="AJ85" i="35"/>
  <c r="AK2" i="35"/>
  <c r="AK77" i="35" s="1"/>
  <c r="AK78" i="35" s="1"/>
  <c r="AK81" i="35" s="1"/>
  <c r="AK85" i="35" l="1"/>
  <c r="AK89" i="35"/>
  <c r="AL2" i="35"/>
  <c r="AL77" i="35" s="1"/>
  <c r="AL78" i="35" s="1"/>
  <c r="AL81" i="35" s="1"/>
  <c r="AL85" i="35" l="1"/>
  <c r="AL89" i="35"/>
  <c r="AM2" i="35"/>
  <c r="AM77" i="35" s="1"/>
  <c r="AM78" i="35" s="1"/>
  <c r="AM81" i="35" s="1"/>
  <c r="AM85" i="35" l="1"/>
  <c r="AM89" i="35"/>
  <c r="AN2" i="35"/>
  <c r="AN77" i="35" s="1"/>
  <c r="AN78" i="35" s="1"/>
  <c r="AN81" i="35" s="1"/>
  <c r="AN85" i="35" l="1"/>
  <c r="F86" i="35" s="1"/>
  <c r="AN89" i="35"/>
  <c r="F90" i="35" s="1"/>
  <c r="F110" i="41" l="1"/>
  <c r="F111" i="4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<sst xmlns="http://schemas.openxmlformats.org/spreadsheetml/2006/main" count="607" uniqueCount="362">
  <si>
    <t>Cell colours</t>
  </si>
  <si>
    <t>Input</t>
  </si>
  <si>
    <t>Light yellow shade</t>
  </si>
  <si>
    <t>Link from another sheet *</t>
  </si>
  <si>
    <t>Blue font</t>
  </si>
  <si>
    <t>* except outputs that can be presumed to be imported from other sheets.</t>
  </si>
  <si>
    <t>Calculation or a link within the same sheet</t>
  </si>
  <si>
    <t>Black font</t>
  </si>
  <si>
    <t>Link to another sheet **</t>
  </si>
  <si>
    <t>Red font</t>
  </si>
  <si>
    <t>** except inputs that can be presumed to be exported to other sheets.</t>
  </si>
  <si>
    <t>Stored value</t>
  </si>
  <si>
    <t>Light turquoise shade</t>
  </si>
  <si>
    <t>Needs attention</t>
  </si>
  <si>
    <t>Yellow shade</t>
  </si>
  <si>
    <t>Cells with deliberately inconsistent or missing formula</t>
  </si>
  <si>
    <t>Navigation</t>
  </si>
  <si>
    <t>Linked cells</t>
  </si>
  <si>
    <t>To navigate efficiently, the following two key strokes are helpful:</t>
  </si>
  <si>
    <t>1) To go to the source of a linked cell: double click on the cell (as if it were a website link) or press CTRL+ [</t>
  </si>
  <si>
    <t>2) To return to your last position: press F5 + Enter</t>
  </si>
  <si>
    <t>To permit the first of the above to work, you need to change one of Excel's default settings, specifically:</t>
  </si>
  <si>
    <t>Under File, Options, Advanced, un-tick the "Allow editing directly in cells" box:</t>
  </si>
  <si>
    <t>This is an Excel application level change, and so you will only need to make this change once.</t>
  </si>
  <si>
    <t>Sections headings</t>
  </si>
  <si>
    <t>Furthermore, the purpose of columns A, B, and C are to act as section headings, partly to aid navigation.</t>
  </si>
  <si>
    <t>Place yourself in either column and use Ctrl + PgUp / PgDn to move efficiently between sections.</t>
  </si>
  <si>
    <t>end</t>
  </si>
  <si>
    <t>Label</t>
  </si>
  <si>
    <t>Ref</t>
  </si>
  <si>
    <t>Value</t>
  </si>
  <si>
    <t>Unit</t>
  </si>
  <si>
    <t>Case 1</t>
  </si>
  <si>
    <t>Case 2</t>
  </si>
  <si>
    <t>Case 3</t>
  </si>
  <si>
    <t>Case 4</t>
  </si>
  <si>
    <t>Case 5</t>
  </si>
  <si>
    <t>Case 6</t>
  </si>
  <si>
    <t>KEY INPUTS</t>
  </si>
  <si>
    <t>Select case from dropdown list:</t>
  </si>
  <si>
    <t>case #</t>
  </si>
  <si>
    <t>Case description</t>
  </si>
  <si>
    <t>case label</t>
  </si>
  <si>
    <t>Base case</t>
  </si>
  <si>
    <t>10% across the board downside sensivitivty (see below)</t>
  </si>
  <si>
    <t>10% across the board upside sensivitivty (see below)</t>
  </si>
  <si>
    <t>Different crop and livestock</t>
  </si>
  <si>
    <t>Base inputs</t>
  </si>
  <si>
    <t>Km of diversion</t>
  </si>
  <si>
    <t>km</t>
  </si>
  <si>
    <t>People impacted per day</t>
  </si>
  <si>
    <t>people</t>
  </si>
  <si>
    <t>Vehicle ownership per person</t>
  </si>
  <si>
    <t>vehicle/person</t>
  </si>
  <si>
    <t>Number of vehicles impacted</t>
  </si>
  <si>
    <t>vehicles</t>
  </si>
  <si>
    <t>Number of freight vehicles</t>
  </si>
  <si>
    <t>Tonnes transported by freight vehicles</t>
  </si>
  <si>
    <t>tonnes</t>
  </si>
  <si>
    <t>Vehicle speed</t>
  </si>
  <si>
    <t>km/h</t>
  </si>
  <si>
    <t>Crop and fruit revenue - type</t>
  </si>
  <si>
    <t>type</t>
  </si>
  <si>
    <t>Apples</t>
  </si>
  <si>
    <t>Maize</t>
  </si>
  <si>
    <t>Crop and fruit revenue - list number</t>
  </si>
  <si>
    <t>list number</t>
  </si>
  <si>
    <t xml:space="preserve">Crop and fruit revenue - Lost market access per day (%) </t>
  </si>
  <si>
    <t>%</t>
  </si>
  <si>
    <t>Kg of fish transported</t>
  </si>
  <si>
    <t>kg</t>
  </si>
  <si>
    <t>Livestock revenue - type</t>
  </si>
  <si>
    <t>Meat, cattle</t>
  </si>
  <si>
    <t>Meat, chicken</t>
  </si>
  <si>
    <t>Livestock revenue - list number</t>
  </si>
  <si>
    <t xml:space="preserve">Livestock revenue - Lost market access per day (%) </t>
  </si>
  <si>
    <t>Number of vehicles carrying livestock</t>
  </si>
  <si>
    <t>Sensitivity factors</t>
  </si>
  <si>
    <t>1 Fuel cost - sensitivity factor</t>
  </si>
  <si>
    <t>factor</t>
  </si>
  <si>
    <t>2 O&amp;M cost of vehicles - sensitivity factor</t>
  </si>
  <si>
    <t>3 O&amp;M cost of roads - sensitivity factor</t>
  </si>
  <si>
    <t>4 Cost of travel time - sensitivity factor</t>
  </si>
  <si>
    <t>5 Air pollution - sensitivity factor</t>
  </si>
  <si>
    <t>6 Noise pollution - sensitivity factor</t>
  </si>
  <si>
    <t>7 Water pollution - sensitivity factor</t>
  </si>
  <si>
    <t>8 GHG emissions - sensitivity factor</t>
  </si>
  <si>
    <t>9 Nature and landscape - sensitivity factor</t>
  </si>
  <si>
    <t>10 Crop and fruit revenue - sensitivity factor</t>
  </si>
  <si>
    <t>11 Fish revenue - sensitivity factor</t>
  </si>
  <si>
    <t>12 Livestock revenue - sensitivity factor</t>
  </si>
  <si>
    <t>13 Access to essential items/services - sensitivity factor</t>
  </si>
  <si>
    <t>14 Access to workplace and schools - sensitivity factor</t>
  </si>
  <si>
    <t>15 Mental health - sensitivity factor</t>
  </si>
  <si>
    <t>Analysis inputs</t>
  </si>
  <si>
    <t>follow the label link to edit this series input</t>
  </si>
  <si>
    <t>Cost &amp; price base date - for labelling purposes only</t>
  </si>
  <si>
    <t>year</t>
  </si>
  <si>
    <t>Betterment cost</t>
  </si>
  <si>
    <t>AUD</t>
  </si>
  <si>
    <t>Avoided road damage benefit based on past occurences</t>
  </si>
  <si>
    <t>Number of past occurences</t>
  </si>
  <si>
    <t>occurences</t>
  </si>
  <si>
    <t>PV discount date (date to which values are discounted)</t>
  </si>
  <si>
    <t>date</t>
  </si>
  <si>
    <t>Average days per year</t>
  </si>
  <si>
    <t>days</t>
  </si>
  <si>
    <t>PV discount rate - in unflated (ie excl inflation) terms</t>
  </si>
  <si>
    <t>p.a. real</t>
  </si>
  <si>
    <t>KEY OUTPUTS</t>
  </si>
  <si>
    <t>Copy-paste-value active output values (in column F) into stored output columns (columns H onwards)</t>
  </si>
  <si>
    <t>Event &amp; occurrence summary</t>
  </si>
  <si>
    <t>Key metrics</t>
  </si>
  <si>
    <t>Values</t>
  </si>
  <si>
    <t>Inputs used in more than one section</t>
  </si>
  <si>
    <t>Exchange rate USD to AUD</t>
  </si>
  <si>
    <t>AUD/USD</t>
  </si>
  <si>
    <t>Inflation (1 AUD in 2020 vs 1 AUD in 2021)</t>
  </si>
  <si>
    <t>index</t>
  </si>
  <si>
    <t>Inflation (1 AUD in 2007 vs 1 AUD in 2021)</t>
  </si>
  <si>
    <t>Days per year</t>
  </si>
  <si>
    <t>1 Fuel cost</t>
  </si>
  <si>
    <t>Trips per day</t>
  </si>
  <si>
    <t>veh/day</t>
  </si>
  <si>
    <t>Average fuel consumption per km</t>
  </si>
  <si>
    <t>liter/100 km</t>
  </si>
  <si>
    <t>Fuel price</t>
  </si>
  <si>
    <t>AUD/liter</t>
  </si>
  <si>
    <t>2 O&amp;M cost of vehicles</t>
  </si>
  <si>
    <t>Only the Red font cells are used</t>
  </si>
  <si>
    <t>Basic repairs and servicing cost (cents/km)</t>
  </si>
  <si>
    <t>2007 prices</t>
  </si>
  <si>
    <t>2021 prices</t>
  </si>
  <si>
    <t>Vehicle type</t>
  </si>
  <si>
    <t>cents/km</t>
  </si>
  <si>
    <t>Cars – private</t>
  </si>
  <si>
    <t>Cars – commercial</t>
  </si>
  <si>
    <t>Non-Articulated</t>
  </si>
  <si>
    <t>Buses</t>
  </si>
  <si>
    <t>Articulated</t>
  </si>
  <si>
    <t>B-double</t>
  </si>
  <si>
    <t>Road train 1</t>
  </si>
  <si>
    <t>Road train 2</t>
  </si>
  <si>
    <t>3 O&amp;M cost of roads</t>
  </si>
  <si>
    <t>Material demand - periodic maintance</t>
  </si>
  <si>
    <t>Tonnes/km/5 year</t>
  </si>
  <si>
    <t>Extra traffic multiplier (cars)</t>
  </si>
  <si>
    <t>multiplier</t>
  </si>
  <si>
    <t>Maintence cost - virgin material</t>
  </si>
  <si>
    <t>USD/tonnes</t>
  </si>
  <si>
    <t>Maintence cost - recycled</t>
  </si>
  <si>
    <t>AUD/tonnes</t>
  </si>
  <si>
    <t>Material demand - annual maintance</t>
  </si>
  <si>
    <t>Tonnes/km/year</t>
  </si>
  <si>
    <t>% recycled materials used for O&amp;M of roads</t>
  </si>
  <si>
    <t>Number of years basis for preceeding inputs</t>
  </si>
  <si>
    <t>years</t>
  </si>
  <si>
    <t>4 Cost of travel time</t>
  </si>
  <si>
    <t>Total value of time (AUD/veh.hr)</t>
  </si>
  <si>
    <t>AUD/veh.hr</t>
  </si>
  <si>
    <t>Cars - private - Rural</t>
  </si>
  <si>
    <t>Cars - private - Urban</t>
  </si>
  <si>
    <t>Cars - commercial - Rural</t>
  </si>
  <si>
    <t>Cars - commercial - Urban</t>
  </si>
  <si>
    <t>Non-Articulated - Rural</t>
  </si>
  <si>
    <t>Non-Articulated - Urban</t>
  </si>
  <si>
    <t>Buses - Rural</t>
  </si>
  <si>
    <t>Buses - Urban</t>
  </si>
  <si>
    <t>Articulated - Rural</t>
  </si>
  <si>
    <t>Articulated - Urban</t>
  </si>
  <si>
    <t>B-double - Rural</t>
  </si>
  <si>
    <t>B-double - Urban</t>
  </si>
  <si>
    <t>Road train 1 - Rural</t>
  </si>
  <si>
    <t>Road train 1 - Urban</t>
  </si>
  <si>
    <t>Road train 2 - Rural</t>
  </si>
  <si>
    <t>Road train 2 - Urban</t>
  </si>
  <si>
    <t>5 Air pollution</t>
  </si>
  <si>
    <t>6 Noise pollution</t>
  </si>
  <si>
    <t>7 Water pollution</t>
  </si>
  <si>
    <t>8 GHG emissions</t>
  </si>
  <si>
    <t>9 Nature and landscape</t>
  </si>
  <si>
    <t>Externality unit costs for passenger vehicles and buses (cents per vehicle kilometres travelled (vkt))</t>
  </si>
  <si>
    <t>Urban</t>
  </si>
  <si>
    <t>Rural</t>
  </si>
  <si>
    <t>Passengers cars</t>
  </si>
  <si>
    <t>AUD cents per vkt</t>
  </si>
  <si>
    <t>Air pollution</t>
  </si>
  <si>
    <t>Greenhouse</t>
  </si>
  <si>
    <t>Noise</t>
  </si>
  <si>
    <t>Water</t>
  </si>
  <si>
    <t>Nature and landscape</t>
  </si>
  <si>
    <t>Externality unit costs for freight vehicles (AUD per 1000 tonne-km)</t>
  </si>
  <si>
    <t>Light vehicles</t>
  </si>
  <si>
    <t>Heavy vehicles</t>
  </si>
  <si>
    <t>AUD per 1000 tonne-km</t>
  </si>
  <si>
    <t>Notes</t>
  </si>
  <si>
    <t xml:space="preserve">Air pollution - Harm to health </t>
  </si>
  <si>
    <t>Greenhouse - Climate change</t>
  </si>
  <si>
    <t>Noise - Harm to health and the environment</t>
  </si>
  <si>
    <t>Water - Harm to health and the environment</t>
  </si>
  <si>
    <t xml:space="preserve">Nature and landscape - Harm to the environment &amp; economic activities </t>
  </si>
  <si>
    <t>10 Crop and fruit revenue</t>
  </si>
  <si>
    <t>Yield</t>
  </si>
  <si>
    <t>Producer prices</t>
  </si>
  <si>
    <t>2020 values</t>
  </si>
  <si>
    <t>2020 prices</t>
  </si>
  <si>
    <t xml:space="preserve"> tonnes/ha</t>
  </si>
  <si>
    <t xml:space="preserve"> USD/tonne</t>
  </si>
  <si>
    <t xml:space="preserve"> AUD/tonne</t>
  </si>
  <si>
    <t>Avocados</t>
  </si>
  <si>
    <t>Bananas</t>
  </si>
  <si>
    <t>Barley</t>
  </si>
  <si>
    <t>Beans, green</t>
  </si>
  <si>
    <t>Berries nes</t>
  </si>
  <si>
    <t>Cabbages and other brassicas</t>
  </si>
  <si>
    <t>Carrots and turnips</t>
  </si>
  <si>
    <t>Cauliflowers and broccoli</t>
  </si>
  <si>
    <t>Cherries</t>
  </si>
  <si>
    <t>Chick peas</t>
  </si>
  <si>
    <t>Lettuce and chicory</t>
  </si>
  <si>
    <t>Maize, green</t>
  </si>
  <si>
    <t>Mangoes, mangosteens, guavas</t>
  </si>
  <si>
    <t>Melons, other (inc.cantaloupes)</t>
  </si>
  <si>
    <t>Mushrooms and truffles</t>
  </si>
  <si>
    <t>Nuts nes</t>
  </si>
  <si>
    <t>Oats</t>
  </si>
  <si>
    <t>Olives</t>
  </si>
  <si>
    <t>Onions, dry</t>
  </si>
  <si>
    <t>Oranges</t>
  </si>
  <si>
    <t>Peaches and nectarines</t>
  </si>
  <si>
    <t>Pears</t>
  </si>
  <si>
    <t>Pineapples</t>
  </si>
  <si>
    <t>Potatoes</t>
  </si>
  <si>
    <t>Rapeseed</t>
  </si>
  <si>
    <t>Rice, paddy</t>
  </si>
  <si>
    <t>Strawberries</t>
  </si>
  <si>
    <t>Sugar cane</t>
  </si>
  <si>
    <t>Tangerines, mandarins, clementines, satsumas</t>
  </si>
  <si>
    <t>Tomatoes</t>
  </si>
  <si>
    <t>Wheat</t>
  </si>
  <si>
    <t>Number of ha considered by agricultural production</t>
  </si>
  <si>
    <t>ha</t>
  </si>
  <si>
    <t xml:space="preserve">11 Fish revenue </t>
  </si>
  <si>
    <t>Production value</t>
  </si>
  <si>
    <t>USD/kg</t>
  </si>
  <si>
    <t>AUD/kg</t>
  </si>
  <si>
    <t xml:space="preserve">Fish revenue - Lost market Access per day (%) </t>
  </si>
  <si>
    <t xml:space="preserve">12 Livestock revenue </t>
  </si>
  <si>
    <t>Number of Livestock</t>
  </si>
  <si>
    <t>Livestock production value</t>
  </si>
  <si>
    <t>Item</t>
  </si>
  <si>
    <t>Heads per year</t>
  </si>
  <si>
    <t>USD per year</t>
  </si>
  <si>
    <t>AUD per year</t>
  </si>
  <si>
    <t>Meat, goat</t>
  </si>
  <si>
    <t>Meat, pig</t>
  </si>
  <si>
    <t>Meat, sheep</t>
  </si>
  <si>
    <t>Damage due to dust inhalation and jarring - avoided damage in AUD/km</t>
  </si>
  <si>
    <t>Unsealed/formed road to sealed road</t>
  </si>
  <si>
    <t>Unsealed/formed road to gravel/paved road</t>
  </si>
  <si>
    <t>Paved road to sealed road</t>
  </si>
  <si>
    <t>AUD/km</t>
  </si>
  <si>
    <t>Number of animals</t>
  </si>
  <si>
    <t>13 Access to essential items/services</t>
  </si>
  <si>
    <t>Average cost of delivery specific item per person</t>
  </si>
  <si>
    <t>AUD/person</t>
  </si>
  <si>
    <t xml:space="preserve">14 Access to workplace and schools </t>
  </si>
  <si>
    <t>% of people who cannot go to work</t>
  </si>
  <si>
    <t>% of people who cannot go to school</t>
  </si>
  <si>
    <t>Daily average salary</t>
  </si>
  <si>
    <t>AUD/person/day</t>
  </si>
  <si>
    <t xml:space="preserve">15 Mental health </t>
  </si>
  <si>
    <t>Mental health-related services cost per person per annum</t>
  </si>
  <si>
    <t>AUD/person/year</t>
  </si>
  <si>
    <t>Km of extra travel</t>
  </si>
  <si>
    <t>Additional fuel consumption</t>
  </si>
  <si>
    <t>liter</t>
  </si>
  <si>
    <t>AUD/day</t>
  </si>
  <si>
    <t>O&amp;M cost per vehicle</t>
  </si>
  <si>
    <t>Material demand - periodic maintance in case of extra traffic</t>
  </si>
  <si>
    <t>% virgin materials used for O&amp;M of roads</t>
  </si>
  <si>
    <t>O&amp;M Cost of roads in one year</t>
  </si>
  <si>
    <t>Additional hours due to diversion</t>
  </si>
  <si>
    <t>hrs</t>
  </si>
  <si>
    <t xml:space="preserve">Estimated value of travel time </t>
  </si>
  <si>
    <t>Externality unit costs for passenger vehicles and buses  (cents per vehicle kilometres travelled (vkt))</t>
  </si>
  <si>
    <t xml:space="preserve">Air pollution: Estimated costs for passenger vehicles and buses </t>
  </si>
  <si>
    <t>cents per veh km travelled (vkt)</t>
  </si>
  <si>
    <t>Total costs for passengers</t>
  </si>
  <si>
    <t xml:space="preserve">Air pollution: Estimated costs for freight vehicles </t>
  </si>
  <si>
    <t>AUD per 1000 tonnes/km</t>
  </si>
  <si>
    <t>AUD per tonnes/km</t>
  </si>
  <si>
    <t>Total costs for freight vehicles</t>
  </si>
  <si>
    <t>Total</t>
  </si>
  <si>
    <t xml:space="preserve">Noise pollution: Estimated costs for passenger vehicles and buses </t>
  </si>
  <si>
    <t xml:space="preserve">Noise pollution: Estimated costs for freight vehicles </t>
  </si>
  <si>
    <t xml:space="preserve">Water pollution: Estimated costs for passenger vehicles and buses </t>
  </si>
  <si>
    <t>AUD cents per veh km travelled (vkt)</t>
  </si>
  <si>
    <t xml:space="preserve">Water pollution: Estimated costs for freight vehicles </t>
  </si>
  <si>
    <t xml:space="preserve">Greenhouse emission: Estimated costs for passenger vehicles and buses </t>
  </si>
  <si>
    <t xml:space="preserve">Greenhouse emission: Estimated costs for freight vehicles </t>
  </si>
  <si>
    <t xml:space="preserve">Nature and Landscape damage: Estimated costs for passenger vehicles and buses </t>
  </si>
  <si>
    <t xml:space="preserve">Nature and Landscape damage: Estimated costs for freight vehicles </t>
  </si>
  <si>
    <t>Apples yield</t>
  </si>
  <si>
    <t>tonnes/ha</t>
  </si>
  <si>
    <t>Lost Productivity</t>
  </si>
  <si>
    <t>Applies producer price</t>
  </si>
  <si>
    <t>AUD/tonne</t>
  </si>
  <si>
    <t>Select type from dropdown list:</t>
  </si>
  <si>
    <t>Cattle production</t>
  </si>
  <si>
    <t>Cattle production value</t>
  </si>
  <si>
    <t xml:space="preserve"> AUD/animal</t>
  </si>
  <si>
    <t>Lost livestock market access</t>
  </si>
  <si>
    <t>Damage due to dust inhalation and jarring</t>
  </si>
  <si>
    <t>Number of person/days that cannot perform work</t>
  </si>
  <si>
    <t>person/day</t>
  </si>
  <si>
    <t>Mental health-related services cost per person per day</t>
  </si>
  <si>
    <t>Modelling period ending</t>
  </si>
  <si>
    <t>Column counter</t>
  </si>
  <si>
    <t>Constant</t>
  </si>
  <si>
    <t>Cost &amp; price base date</t>
  </si>
  <si>
    <t>Labelling suffix</t>
  </si>
  <si>
    <t>label</t>
  </si>
  <si>
    <t>Placing costs and benefits in time</t>
  </si>
  <si>
    <t>Betterment event occurrence flag</t>
  </si>
  <si>
    <t>flag</t>
  </si>
  <si>
    <t>Avoided road damage benefit</t>
  </si>
  <si>
    <t>Avoided road damage benefit per event</t>
  </si>
  <si>
    <t>AUD/event</t>
  </si>
  <si>
    <t>Avoided road damage event occurrence flag</t>
  </si>
  <si>
    <t>Non-road benefits</t>
  </si>
  <si>
    <t>Non-road event occurrence and duration</t>
  </si>
  <si>
    <t>Net benefits excl. non-road benefits</t>
  </si>
  <si>
    <t>Net benefits incl. non-road benefits</t>
  </si>
  <si>
    <t>Benefits to Costs Ratio (BCR)</t>
  </si>
  <si>
    <t>BCR excl. non-road benefits</t>
  </si>
  <si>
    <t>ratio</t>
  </si>
  <si>
    <t>Total benefit over time incl. non-road benefits</t>
  </si>
  <si>
    <t>BCR incl. non-road benefits</t>
  </si>
  <si>
    <t>Internal Rate of Return (IRR)</t>
  </si>
  <si>
    <t>IRR excl. non-road benefits</t>
  </si>
  <si>
    <t>% p.a. real</t>
  </si>
  <si>
    <t>IRR incl. non-road benefits</t>
  </si>
  <si>
    <t>Net Present Value (NPV)</t>
  </si>
  <si>
    <t>Present Value (PV) discount factor</t>
  </si>
  <si>
    <t>Years from Present Value discount date</t>
  </si>
  <si>
    <t>Present Value of net benefits/(costs), aka NPV</t>
  </si>
  <si>
    <t>NPV excl. non-road benefits</t>
  </si>
  <si>
    <t>NPV incl. non-road benefits</t>
  </si>
  <si>
    <t>#</t>
  </si>
  <si>
    <t>Reference</t>
  </si>
  <si>
    <t>https://www.abs.gov.au/statistics/economy/price-indexes-and-inflation/consumer-price-index-australia/latest-release</t>
  </si>
  <si>
    <t>Cost Benefit Analysis (CBA) Manual, Transport and Main Roads, March 2021</t>
  </si>
  <si>
    <t>The emission of air pollutants from transportation mainly consists of exhaust emissions, but there are also impacts of fuel vapours and emissions that result from the contact between vehicles’ tyres and the road surface. Emissions also vary by type of vehicle (truck, private car, engine size and model) and fuel (diesel/ petrol).</t>
  </si>
  <si>
    <t>Transportation is a significant source of greenhouse gas (GHG) emissions, which are defined in the National Greenhouse Gas Inventory (NGGI) as emissions from the direct combustion of fuels in road transportation, railways, navigation, aviation and off-road recreational vehicle activity</t>
  </si>
  <si>
    <t>The prevailing source of artificial noise pollution in built-up areas is from transportation. In rural areas, train and aviation noise can disturb wildlife habitats. Trucks and exhaust braking is a significant contributor of noise pollution in rural towns.</t>
  </si>
  <si>
    <t>Transport-related water pollution is defined as the contamination of water bodies such as lakes, rivers, oceans and groundwater, which can be harmful to local and even regional ecological values</t>
  </si>
  <si>
    <t xml:space="preserve">Transport projects commonly influence natural vegetation and landscape in some form. The development of land-based transportation has led to deforestation, habitat loss, loss of natural vegetation, reduction in the quality of landscape, land pollution and reduction in visual amenity. </t>
  </si>
  <si>
    <t>https://www.fao.org/faostat/en/#data</t>
  </si>
  <si>
    <t>https://www.aihw.gov.au/reports/mental-health-services/mental-health-services-in-australia/report-contents/expenditure-on-mental-health-related-services</t>
  </si>
  <si>
    <t>https://silo.tips/download/life-cycle-analysis-of-transport-modes</t>
  </si>
  <si>
    <t>https://www.iisd.org/system/files/publications/sustainable-asset-valuation-tool-roads.pdf   and data from SAVi Model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</si>
</sst>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_(* \(#,##0.00\);_(* &quot;-&quot;??_);_(@_)"/>
    <numFmt numFmtId="164" formatCode="_-* #,##0.00_-;\-* #,##0.00_-;_-* &quot;-&quot;??_-;_-@_-"/>
    <numFmt numFmtId="165" formatCode="0.000"/>
    <numFmt numFmtId="166" formatCode="_(* #,##0.0_);_(* \(#,##0.0\);_(* &quot;-&quot;?_);_(@_)"/>
    <numFmt numFmtId="167" formatCode="#,##0_);\(#,##0\);&quot;-  &quot;;&quot; &quot;@&quot; &quot;"/>
    <numFmt numFmtId="168" formatCode="0.00_)%_);\(0.00\)%_);&quot;-  &quot;;&quot; &quot;@&quot; &quot;"/>
    <numFmt numFmtId="169" formatCode="#,##0.0000_);\(#,##0.0000\);&quot;-  &quot;;&quot; &quot;@&quot; &quot;"/>
    <numFmt numFmtId="170" formatCode="dd\ mmm\ yyyy_);\(###0\);&quot;-  &quot;;&quot; &quot;@&quot; &quot;"/>
    <numFmt numFmtId="171" formatCode="dd\ mmm\ yy_);\(###0\);&quot;-  &quot;;&quot; &quot;@&quot; &quot;"/>
    <numFmt numFmtId="172" formatCode="###0_);\(###0\);&quot;-  &quot;;&quot; &quot;@&quot; &quot;"/>
    <numFmt numFmtId="173" formatCode="0_)%_);\(0\)%_);&quot;-  &quot;;&quot; &quot;@&quot; &quot;"/>
    <numFmt numFmtId="174" formatCode="###0.00_);\(###0.00\);&quot;-  &quot;;&quot; &quot;@&quot; &quot;"/>
    <numFmt numFmtId="175" formatCode="#,##0.00_);\(#,##0.00\);&quot;-  &quot;;&quot; &quot;@&quot; &quot;"/>
    <numFmt numFmtId="176" formatCode="#,##0.000_);\(#,##0.000\);&quot;-  &quot;;&quot; &quot;@&quot; &quot;"/>
    <numFmt numFmtId="177" formatCode="#,##0.0_);\(#,##0.0\);&quot;-  &quot;;&quot; &quot;@&quot; &quot;"/>
    <numFmt numFmtId="178" formatCode="0.0_)%_);\(0.0\)%_);&quot;-  &quot;;&quot; &quot;@&quot; &quot;"/>
    <numFmt numFmtId="179" formatCode="###0.0_);\(###0.0\);&quot;-  &quot;;&quot; &quot;@&quot; &quot;"/>
    <numFmt numFmtId="180" formatCode="###0.000_);\(###0.000\);&quot;-  &quot;;&quot; &quot;@&quot; &quot;"/>
  </numFmts>
  <fonts count="33"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8"/>
      <name val="Calibri"/>
      <family val="2"/>
      <scheme val="minor"/>
    </font>
    <font>
      <u/>
      <sz val="11"/>
      <color theme="10"/>
      <name val="Calibri"/>
      <family val="2"/>
      <scheme val="minor"/>
    </font>
    <font>
      <sz val="11"/>
      <name val="Calibri"/>
      <family val="2"/>
      <scheme val="minor"/>
    </font>
    <font>
      <b/>
      <sz val="11"/>
      <color rgb="FFFF0000"/>
      <name val="Calibri"/>
      <family val="2"/>
      <scheme val="minor"/>
    </font>
    <font>
      <sz val="11"/>
      <color rgb="FF0000FF"/>
      <name val="Calibri"/>
      <family val="2"/>
      <scheme val="minor"/>
    </font>
    <font>
      <sz val="11"/>
      <color rgb="FF000000"/>
      <name val="Calibri"/>
      <family val="2"/>
      <scheme val="minor"/>
    </font>
    <font>
      <b/>
      <sz val="11"/>
      <color rgb="FF000000"/>
      <name val="Calibri"/>
      <family val="2"/>
      <scheme val="minor"/>
    </font>
    <font>
      <b/>
      <sz val="20"/>
      <name val="Arial"/>
      <family val="2"/>
    </font>
    <font>
      <u/>
      <sz val="11"/>
      <color rgb="FF000000"/>
      <name val="Calibri"/>
      <family val="2"/>
      <scheme val="minor"/>
    </font>
    <font>
      <b/>
      <i/>
      <sz val="11"/>
      <color rgb="FFFF0000"/>
      <name val="Calibri"/>
      <family val="2"/>
      <scheme val="minor"/>
    </font>
    <font>
      <i/>
      <sz val="11"/>
      <color rgb="FFFF0000"/>
      <name val="Calibri"/>
      <family val="2"/>
      <scheme val="minor"/>
    </font>
    <font>
      <u/>
      <sz val="11"/>
      <color theme="1"/>
      <name val="Calibri"/>
      <family val="2"/>
      <scheme val="minor"/>
    </font>
    <font>
      <i/>
      <sz val="11"/>
      <color rgb="FF000000"/>
      <name val="Calibri"/>
      <family val="2"/>
      <scheme val="minor"/>
    </font>
    <font>
      <sz val="10"/>
      <color rgb="FF000000"/>
      <name val="Arial"/>
      <family val="2"/>
    </font>
    <font>
      <b/>
      <sz val="10"/>
      <name val="Arial"/>
      <family val="2"/>
    </font>
    <font>
      <sz val="10"/>
      <name val="Arial"/>
      <family val="2"/>
    </font>
    <font>
      <b/>
      <i/>
      <sz val="11"/>
      <color rgb="FF000000"/>
      <name val="Calibri"/>
      <family val="2"/>
      <scheme val="minor"/>
    </font>
    <font>
      <sz val="10"/>
      <color theme="1"/>
      <name val="Arial"/>
      <family val="2"/>
    </font>
    <font>
      <sz val="10"/>
      <color rgb="FF0000FF"/>
      <name val="Arial"/>
      <family val="2"/>
    </font>
    <font>
      <sz val="10"/>
      <color rgb="FFFF0000"/>
      <name val="Arial"/>
      <family val="2"/>
    </font>
    <font>
      <b/>
      <sz val="10"/>
      <color theme="1"/>
      <name val="Arial"/>
      <family val="2"/>
    </font>
    <font>
      <i/>
      <u/>
      <sz val="11"/>
      <color rgb="FF000000"/>
      <name val="Calibri"/>
      <family val="2"/>
      <scheme val="minor"/>
    </font>
    <font>
      <u/>
      <sz val="11"/>
      <color rgb="FFFF0000"/>
      <name val="Calibri"/>
      <family val="2"/>
      <scheme val="minor"/>
    </font>
    <font>
      <i/>
      <u/>
      <sz val="11"/>
      <color rgb="FFFF0000"/>
      <name val="Calibri"/>
      <family val="2"/>
      <scheme val="minor"/>
    </font>
    <font>
      <i/>
      <sz val="11"/>
      <color theme="1"/>
      <name val="Calibri"/>
      <family val="2"/>
      <scheme val="minor"/>
    </font>
    <font>
      <u/>
      <sz val="10"/>
      <color theme="1"/>
      <name val="Arial"/>
      <family val="2"/>
    </font>
    <font>
      <u/>
      <sz val="10"/>
      <name val="Arial"/>
      <family val="2"/>
    </font>
    <font>
      <b/>
      <sz val="14"/>
      <name val="Arial"/>
      <family val="2"/>
    </font>
    <font>
      <i/>
      <sz val="10"/>
      <color theme="1"/>
      <name val="Arial"/>
      <family val="2"/>
    </font>
  </fonts>
  <fills count="7">
    <fill>
      <patternFill patternType="none"/>
    </fill>
    <fill>
      <patternFill patternType="gray125"/>
    </fill>
    <fill>
      <patternFill patternType="solid">
        <fgColor rgb="FFCCFFFF"/>
        <bgColor indexed="64"/>
      </patternFill>
    </fill>
    <fill>
      <patternFill patternType="solid">
        <fgColor rgb="FFFFFF99"/>
        <bgColor indexed="64"/>
      </patternFill>
    </fill>
    <fill>
      <patternFill patternType="solid">
        <fgColor rgb="FFDDDDDD"/>
        <bgColor indexed="64"/>
      </patternFill>
    </fill>
    <fill>
      <patternFill patternType="solid">
        <fgColor indexed="41"/>
        <bgColor indexed="64"/>
      </patternFill>
    </fill>
    <fill>
      <patternFill patternType="solid">
        <fgColor indexed="13"/>
        <bgColor indexed="64"/>
      </patternFill>
    </fill>
  </fills>
  <borders count="2">
    <border>
      <left/>
      <right/>
      <top/>
      <bottom/>
      <diagonal/>
    </border>
    <border>
      <left/>
      <right/>
      <top style="thin">
        <color rgb="FF808080"/>
      </top>
      <bottom style="thin">
        <color rgb="FF808080"/>
      </bottom>
      <diagonal/>
    </border>
  </borders>
  <cellStyleXfs count="8">
    <xf numFmtId="167" fontId="0" fillId="0" borderId="0" applyFont="0" applyFill="0" applyBorder="0" applyProtection="0">
      <alignment vertical="top"/>
    </xf>
    <xf numFmtId="168" fontId="1" fillId="0" borderId="0" applyFont="0" applyFill="0" applyBorder="0" applyProtection="0">
      <alignment vertical="top"/>
    </xf>
    <xf numFmtId="0" fontId="5" fillId="0" borderId="0" applyNumberFormat="0" applyFill="0" applyBorder="0" applyAlignment="0" applyProtection="0"/>
    <xf numFmtId="169" fontId="1" fillId="0" borderId="0" applyFont="0" applyFill="0" applyBorder="0" applyProtection="0">
      <alignment vertical="top"/>
    </xf>
    <xf numFmtId="170" fontId="1" fillId="0" borderId="0" applyFont="0" applyFill="0" applyBorder="0" applyProtection="0">
      <alignment vertical="top"/>
    </xf>
    <xf numFmtId="171" fontId="1" fillId="0" borderId="0" applyFont="0" applyFill="0" applyBorder="0" applyProtection="0">
      <alignment vertical="top"/>
    </xf>
    <xf numFmtId="172" fontId="1" fillId="0" borderId="0" applyFont="0" applyFill="0" applyBorder="0" applyProtection="0">
      <alignment vertical="top"/>
    </xf>
    <xf numFmtId="164" fontId="1" fillId="0" borderId="0" applyFont="0" applyFill="0" applyBorder="0" applyAlignment="0" applyProtection="0"/>
  </cellStyleXfs>
  <cellXfs count="346">
    <xf numFmtId="167" fontId="0" fillId="0" borderId="0" xfId="0">
      <alignment vertical="top"/>
    </xf>
    <xf numFmtId="167" fontId="3" fillId="0" borderId="0" xfId="0" applyFont="1">
      <alignment vertical="top"/>
    </xf>
    <xf numFmtId="167" fontId="0" fillId="0" borderId="0" xfId="0" applyAlignment="1">
      <alignment vertical="top" wrapText="1"/>
    </xf>
    <xf numFmtId="167" fontId="0" fillId="0" borderId="0" xfId="0" applyAlignment="1">
      <alignment horizontal="center" vertical="top"/>
    </xf>
    <xf numFmtId="167" fontId="0" fillId="0" borderId="0" xfId="0" applyFill="1">
      <alignment vertical="top"/>
    </xf>
    <xf numFmtId="167" fontId="0" fillId="2" borderId="0" xfId="0" applyFill="1">
      <alignment vertical="top"/>
    </xf>
    <xf numFmtId="173" fontId="0" fillId="0" borderId="0" xfId="1" applyNumberFormat="1" applyFont="1">
      <alignment vertical="top"/>
    </xf>
    <xf numFmtId="173" fontId="0" fillId="0" borderId="0" xfId="1" applyNumberFormat="1" applyFont="1" applyFill="1">
      <alignment vertical="top"/>
    </xf>
    <xf numFmtId="167" fontId="9" fillId="0" borderId="0" xfId="0" applyFont="1">
      <alignment vertical="top"/>
    </xf>
    <xf numFmtId="167" fontId="0" fillId="0" borderId="0" xfId="0" applyFont="1">
      <alignment vertical="top"/>
    </xf>
    <xf numFmtId="167" fontId="0" fillId="0" borderId="0" xfId="0" applyFont="1" applyFill="1">
      <alignment vertical="top"/>
    </xf>
    <xf numFmtId="168" fontId="9" fillId="3" borderId="0" xfId="1" applyFont="1" applyFill="1">
      <alignment vertical="top"/>
    </xf>
    <xf numFmtId="167" fontId="0" fillId="3" borderId="0" xfId="0" applyFont="1" applyFill="1">
      <alignment vertical="top"/>
    </xf>
    <xf numFmtId="173" fontId="9" fillId="3" borderId="0" xfId="1" applyNumberFormat="1" applyFont="1" applyFill="1">
      <alignment vertical="top"/>
    </xf>
    <xf numFmtId="175" fontId="9" fillId="3" borderId="0" xfId="0" applyNumberFormat="1" applyFont="1" applyFill="1">
      <alignment vertical="top"/>
    </xf>
    <xf numFmtId="167" fontId="3" fillId="0" borderId="0" xfId="0" applyFont="1" applyFill="1">
      <alignment vertical="top"/>
    </xf>
    <xf numFmtId="172" fontId="0" fillId="0" borderId="0" xfId="6" applyFont="1">
      <alignment vertical="top"/>
    </xf>
    <xf numFmtId="167" fontId="10" fillId="0" borderId="0" xfId="0" applyFont="1" applyFill="1" applyAlignment="1">
      <alignment horizontal="left" vertical="top" wrapText="1"/>
    </xf>
    <xf numFmtId="167" fontId="10" fillId="0" borderId="0" xfId="0" applyFont="1" applyFill="1" applyAlignment="1">
      <alignment horizontal="center" vertical="top" wrapText="1"/>
    </xf>
    <xf numFmtId="167" fontId="9" fillId="0" borderId="0" xfId="0" applyFont="1" applyFill="1">
      <alignment vertical="top"/>
    </xf>
    <xf numFmtId="175" fontId="8" fillId="0" borderId="0" xfId="0" applyNumberFormat="1" applyFont="1" applyFill="1" applyAlignment="1">
      <alignment horizontal="right" vertical="top"/>
    </xf>
    <xf numFmtId="167" fontId="10" fillId="0" borderId="0" xfId="0" applyFont="1" applyFill="1">
      <alignment vertical="top"/>
    </xf>
    <xf numFmtId="167" fontId="9" fillId="0" borderId="0" xfId="0" applyFont="1" applyFill="1" applyAlignment="1">
      <alignment vertical="top" wrapText="1"/>
    </xf>
    <xf numFmtId="167" fontId="10" fillId="0" borderId="0" xfId="0" applyFont="1" applyFill="1" applyAlignment="1">
      <alignment vertical="top" wrapText="1"/>
    </xf>
    <xf numFmtId="175" fontId="8" fillId="0" borderId="0" xfId="0" applyNumberFormat="1" applyFont="1" applyFill="1">
      <alignment vertical="top"/>
    </xf>
    <xf numFmtId="175" fontId="9" fillId="0" borderId="0" xfId="0" applyNumberFormat="1" applyFont="1" applyFill="1">
      <alignment vertical="top"/>
    </xf>
    <xf numFmtId="172" fontId="0" fillId="0" borderId="0" xfId="6" applyFont="1" applyFill="1">
      <alignment vertical="top"/>
    </xf>
    <xf numFmtId="174" fontId="10" fillId="0" borderId="0" xfId="6" applyNumberFormat="1" applyFont="1" applyFill="1" applyAlignment="1">
      <alignment vertical="top" wrapText="1"/>
    </xf>
    <xf numFmtId="172" fontId="10" fillId="0" borderId="0" xfId="6" applyFont="1" applyFill="1">
      <alignment vertical="top"/>
    </xf>
    <xf numFmtId="172" fontId="9" fillId="0" borderId="0" xfId="6" applyFont="1" applyFill="1">
      <alignment vertical="top"/>
    </xf>
    <xf numFmtId="175" fontId="2" fillId="0" borderId="0" xfId="0" applyNumberFormat="1" applyFont="1" applyFill="1">
      <alignment vertical="top"/>
    </xf>
    <xf numFmtId="167" fontId="3" fillId="0" borderId="0" xfId="0" applyFont="1" applyAlignment="1">
      <alignment vertical="top" wrapText="1"/>
    </xf>
    <xf numFmtId="164" fontId="11" fillId="0" borderId="0" xfId="7" applyFont="1" applyFill="1" applyAlignment="1">
      <alignment vertical="top"/>
    </xf>
    <xf numFmtId="171" fontId="3" fillId="0" borderId="0" xfId="5" applyFont="1" applyFill="1">
      <alignment vertical="top"/>
    </xf>
    <xf numFmtId="171" fontId="3" fillId="0" borderId="0" xfId="5" applyFont="1">
      <alignment vertical="top"/>
    </xf>
    <xf numFmtId="177" fontId="3" fillId="0" borderId="0" xfId="0" applyNumberFormat="1" applyFont="1" applyFill="1">
      <alignment vertical="top"/>
    </xf>
    <xf numFmtId="177" fontId="0" fillId="0" borderId="0" xfId="0" applyNumberFormat="1">
      <alignment vertical="top"/>
    </xf>
    <xf numFmtId="177" fontId="0" fillId="0" borderId="0" xfId="0" applyNumberFormat="1" applyFill="1">
      <alignment vertical="top"/>
    </xf>
    <xf numFmtId="167" fontId="8" fillId="0" borderId="0" xfId="0" applyFont="1" applyFill="1">
      <alignment vertical="top"/>
    </xf>
    <xf numFmtId="167" fontId="0" fillId="0" borderId="1" xfId="0" applyBorder="1">
      <alignment vertical="top"/>
    </xf>
    <xf numFmtId="167" fontId="0" fillId="0" borderId="1" xfId="0" applyFill="1" applyBorder="1">
      <alignment vertical="top"/>
    </xf>
    <xf numFmtId="167" fontId="10" fillId="0" borderId="0" xfId="0" applyFont="1">
      <alignment vertical="top"/>
    </xf>
    <xf numFmtId="171" fontId="3" fillId="3" borderId="0" xfId="5" applyFont="1" applyFill="1">
      <alignment vertical="top"/>
    </xf>
    <xf numFmtId="167" fontId="12" fillId="0" borderId="0" xfId="0" applyFont="1">
      <alignment vertical="top"/>
    </xf>
    <xf numFmtId="175" fontId="9" fillId="0" borderId="0" xfId="0" applyNumberFormat="1" applyFont="1">
      <alignment vertical="top"/>
    </xf>
    <xf numFmtId="175" fontId="2" fillId="0" borderId="0" xfId="0" applyNumberFormat="1" applyFont="1">
      <alignment vertical="top"/>
    </xf>
    <xf numFmtId="175" fontId="3" fillId="0" borderId="0" xfId="0" applyNumberFormat="1" applyFont="1" applyFill="1">
      <alignment vertical="top"/>
    </xf>
    <xf numFmtId="175" fontId="0" fillId="0" borderId="0" xfId="0" applyNumberFormat="1" applyFont="1" applyFill="1">
      <alignment vertical="top"/>
    </xf>
    <xf numFmtId="175" fontId="0" fillId="0" borderId="0" xfId="0" applyNumberFormat="1" applyFont="1">
      <alignment vertical="top"/>
    </xf>
    <xf numFmtId="175" fontId="3" fillId="0" borderId="0" xfId="0" applyNumberFormat="1" applyFont="1">
      <alignment vertical="top"/>
    </xf>
    <xf numFmtId="175" fontId="3" fillId="0" borderId="0" xfId="0" applyNumberFormat="1" applyFont="1" applyBorder="1">
      <alignment vertical="top"/>
    </xf>
    <xf numFmtId="175" fontId="0" fillId="0" borderId="0" xfId="0" applyNumberFormat="1" applyFont="1" applyBorder="1">
      <alignment vertical="top"/>
    </xf>
    <xf numFmtId="175" fontId="8" fillId="0" borderId="0" xfId="0" applyNumberFormat="1" applyFont="1">
      <alignment vertical="top"/>
    </xf>
    <xf numFmtId="175" fontId="10" fillId="0" borderId="0" xfId="0" applyNumberFormat="1" applyFont="1" applyFill="1">
      <alignment vertical="top"/>
    </xf>
    <xf numFmtId="175" fontId="3" fillId="0" borderId="0" xfId="0" applyNumberFormat="1" applyFont="1" applyFill="1" applyBorder="1">
      <alignment vertical="top"/>
    </xf>
    <xf numFmtId="175" fontId="1" fillId="0" borderId="0" xfId="0" applyNumberFormat="1" applyFont="1" applyBorder="1">
      <alignment vertical="top"/>
    </xf>
    <xf numFmtId="168" fontId="0" fillId="0" borderId="0" xfId="1" applyFont="1">
      <alignment vertical="top"/>
    </xf>
    <xf numFmtId="173" fontId="3" fillId="0" borderId="0" xfId="1" applyNumberFormat="1" applyFont="1">
      <alignment vertical="top"/>
    </xf>
    <xf numFmtId="175" fontId="9" fillId="0" borderId="0" xfId="0" applyNumberFormat="1" applyFont="1" applyBorder="1">
      <alignment vertical="top"/>
    </xf>
    <xf numFmtId="175" fontId="10" fillId="0" borderId="0" xfId="0" applyNumberFormat="1" applyFont="1" applyBorder="1">
      <alignment vertical="top"/>
    </xf>
    <xf numFmtId="168" fontId="0" fillId="0" borderId="0" xfId="1" applyFont="1" applyFill="1">
      <alignment vertical="top"/>
    </xf>
    <xf numFmtId="172" fontId="0" fillId="0" borderId="0" xfId="6" applyFont="1" applyBorder="1">
      <alignment vertical="top"/>
    </xf>
    <xf numFmtId="173" fontId="9" fillId="0" borderId="0" xfId="1" applyNumberFormat="1" applyFont="1" applyFill="1">
      <alignment vertical="top"/>
    </xf>
    <xf numFmtId="175" fontId="10" fillId="0" borderId="0" xfId="0" applyNumberFormat="1" applyFont="1" applyFill="1" applyAlignment="1">
      <alignment horizontal="right" vertical="top"/>
    </xf>
    <xf numFmtId="177" fontId="15" fillId="0" borderId="0" xfId="0" applyNumberFormat="1" applyFont="1" applyFill="1" applyAlignment="1">
      <alignment horizontal="right" vertical="top"/>
    </xf>
    <xf numFmtId="178" fontId="0" fillId="0" borderId="0" xfId="1" applyNumberFormat="1" applyFont="1" applyFill="1">
      <alignment vertical="top"/>
    </xf>
    <xf numFmtId="172" fontId="3" fillId="0" borderId="0" xfId="6" applyFont="1">
      <alignment vertical="top"/>
    </xf>
    <xf numFmtId="172" fontId="8" fillId="0" borderId="0" xfId="6" applyFont="1">
      <alignment vertical="top"/>
    </xf>
    <xf numFmtId="177" fontId="3" fillId="0" borderId="0" xfId="0" applyNumberFormat="1" applyFont="1">
      <alignment vertical="top"/>
    </xf>
    <xf numFmtId="177" fontId="8" fillId="0" borderId="0" xfId="0" applyNumberFormat="1" applyFont="1">
      <alignment vertical="top"/>
    </xf>
    <xf numFmtId="177" fontId="0" fillId="0" borderId="0" xfId="0" applyNumberFormat="1" applyFont="1">
      <alignment vertical="top"/>
    </xf>
    <xf numFmtId="179" fontId="0" fillId="0" borderId="0" xfId="6" applyNumberFormat="1" applyFont="1">
      <alignment vertical="top"/>
    </xf>
    <xf numFmtId="177" fontId="9" fillId="3" borderId="0" xfId="0" applyNumberFormat="1" applyFont="1" applyFill="1">
      <alignment vertical="top"/>
    </xf>
    <xf numFmtId="177" fontId="9" fillId="0" borderId="0" xfId="0" applyNumberFormat="1" applyFont="1">
      <alignment vertical="top"/>
    </xf>
    <xf numFmtId="172" fontId="10" fillId="0" borderId="0" xfId="6" applyFont="1" applyFill="1" applyAlignment="1">
      <alignment horizontal="right" vertical="top"/>
    </xf>
    <xf numFmtId="167" fontId="10" fillId="0" borderId="0" xfId="0" applyFont="1" applyFill="1" applyAlignment="1">
      <alignment horizontal="right" vertical="top" wrapText="1"/>
    </xf>
    <xf numFmtId="172" fontId="16" fillId="0" borderId="0" xfId="6" applyFont="1" applyFill="1">
      <alignment vertical="top"/>
    </xf>
    <xf numFmtId="167" fontId="9" fillId="0" borderId="0" xfId="0" applyFont="1" applyFill="1" applyAlignment="1">
      <alignment horizontal="center" vertical="top" wrapText="1"/>
    </xf>
    <xf numFmtId="167" fontId="10" fillId="0" borderId="0" xfId="0" applyFont="1" applyFill="1" applyAlignment="1">
      <alignment horizontal="right" vertical="top"/>
    </xf>
    <xf numFmtId="172" fontId="15" fillId="0" borderId="0" xfId="6" quotePrefix="1" applyFont="1" applyFill="1" applyAlignment="1">
      <alignment horizontal="right" vertical="top"/>
    </xf>
    <xf numFmtId="172" fontId="12" fillId="0" borderId="0" xfId="6" applyFont="1" applyFill="1" applyAlignment="1">
      <alignment horizontal="right" vertical="top"/>
    </xf>
    <xf numFmtId="167" fontId="12" fillId="0" borderId="0" xfId="0" applyFont="1" applyFill="1" applyAlignment="1">
      <alignment horizontal="right" vertical="top" wrapText="1"/>
    </xf>
    <xf numFmtId="167" fontId="15" fillId="0" borderId="0" xfId="0" applyFont="1" applyFill="1" applyAlignment="1">
      <alignment horizontal="right" vertical="top"/>
    </xf>
    <xf numFmtId="167" fontId="3" fillId="0" borderId="0" xfId="0" applyFont="1" applyAlignment="1">
      <alignment horizontal="right" vertical="top" wrapText="1"/>
    </xf>
    <xf numFmtId="176" fontId="3" fillId="0" borderId="0" xfId="3" applyNumberFormat="1" applyFont="1">
      <alignment vertical="top"/>
    </xf>
    <xf numFmtId="176" fontId="0" fillId="0" borderId="0" xfId="3" applyNumberFormat="1" applyFont="1">
      <alignment vertical="top"/>
    </xf>
    <xf numFmtId="176" fontId="8" fillId="0" borderId="0" xfId="3" applyNumberFormat="1" applyFont="1">
      <alignment vertical="top"/>
    </xf>
    <xf numFmtId="177" fontId="9" fillId="0" borderId="0" xfId="0" applyNumberFormat="1" applyFont="1" applyFill="1">
      <alignment vertical="top"/>
    </xf>
    <xf numFmtId="167" fontId="8" fillId="0" borderId="0" xfId="0" applyFont="1" applyBorder="1">
      <alignment vertical="top"/>
    </xf>
    <xf numFmtId="167" fontId="8" fillId="0" borderId="0" xfId="0" applyFont="1" applyFill="1" applyBorder="1">
      <alignment vertical="top"/>
    </xf>
    <xf numFmtId="172" fontId="7" fillId="0" borderId="0" xfId="6" applyFont="1">
      <alignment vertical="top"/>
    </xf>
    <xf numFmtId="172" fontId="2" fillId="0" borderId="0" xfId="6" applyFont="1">
      <alignment vertical="top"/>
    </xf>
    <xf numFmtId="167" fontId="7" fillId="0" borderId="0" xfId="0" applyFont="1">
      <alignment vertical="top"/>
    </xf>
    <xf numFmtId="167" fontId="2" fillId="0" borderId="0" xfId="0" applyFont="1">
      <alignment vertical="top"/>
    </xf>
    <xf numFmtId="167" fontId="7" fillId="0" borderId="0" xfId="0" applyFont="1" applyBorder="1">
      <alignment vertical="top"/>
    </xf>
    <xf numFmtId="167" fontId="2" fillId="0" borderId="0" xfId="0" applyFont="1" applyBorder="1">
      <alignment vertical="top"/>
    </xf>
    <xf numFmtId="167" fontId="13" fillId="0" borderId="0" xfId="0" applyFont="1" applyBorder="1">
      <alignment vertical="top"/>
    </xf>
    <xf numFmtId="167" fontId="14" fillId="0" borderId="0" xfId="0" applyFont="1" applyBorder="1">
      <alignment vertical="top"/>
    </xf>
    <xf numFmtId="177" fontId="10" fillId="0" borderId="0" xfId="0" applyNumberFormat="1" applyFont="1" applyFill="1">
      <alignment vertical="top"/>
    </xf>
    <xf numFmtId="174" fontId="10" fillId="0" borderId="0" xfId="6" applyNumberFormat="1" applyFont="1" applyFill="1">
      <alignment vertical="top"/>
    </xf>
    <xf numFmtId="174" fontId="10" fillId="0" borderId="0" xfId="6" applyNumberFormat="1" applyFont="1">
      <alignment vertical="top"/>
    </xf>
    <xf numFmtId="174" fontId="9" fillId="0" borderId="0" xfId="6" applyNumberFormat="1" applyFont="1">
      <alignment vertical="top"/>
    </xf>
    <xf numFmtId="170" fontId="0" fillId="0" borderId="0" xfId="4" applyFont="1">
      <alignment vertical="top"/>
    </xf>
    <xf numFmtId="170" fontId="0" fillId="3" borderId="0" xfId="4" applyFont="1" applyFill="1">
      <alignment vertical="top"/>
    </xf>
    <xf numFmtId="178" fontId="1" fillId="0" borderId="0" xfId="1" applyNumberFormat="1" applyFont="1">
      <alignment vertical="top"/>
    </xf>
    <xf numFmtId="178" fontId="1" fillId="0" borderId="0" xfId="1" applyNumberFormat="1" applyFont="1" applyFill="1">
      <alignment vertical="top"/>
    </xf>
    <xf numFmtId="178" fontId="1" fillId="3" borderId="0" xfId="1" applyNumberFormat="1" applyFont="1" applyFill="1">
      <alignment vertical="top"/>
    </xf>
    <xf numFmtId="169" fontId="10" fillId="0" borderId="0" xfId="3" applyFont="1">
      <alignment vertical="top"/>
    </xf>
    <xf numFmtId="169" fontId="9" fillId="0" borderId="0" xfId="3" applyFont="1">
      <alignment vertical="top"/>
    </xf>
    <xf numFmtId="171" fontId="9" fillId="0" borderId="0" xfId="0" applyNumberFormat="1" applyFont="1" applyFill="1">
      <alignment vertical="top"/>
    </xf>
    <xf numFmtId="169" fontId="3" fillId="0" borderId="0" xfId="3" applyFont="1">
      <alignment vertical="top"/>
    </xf>
    <xf numFmtId="169" fontId="0" fillId="0" borderId="0" xfId="3" applyFont="1">
      <alignment vertical="top"/>
    </xf>
    <xf numFmtId="179" fontId="3" fillId="0" borderId="0" xfId="6" applyNumberFormat="1" applyFont="1">
      <alignment vertical="top"/>
    </xf>
    <xf numFmtId="176" fontId="0" fillId="0" borderId="0" xfId="0" applyNumberFormat="1" applyFill="1">
      <alignment vertical="top"/>
    </xf>
    <xf numFmtId="178" fontId="3" fillId="0" borderId="0" xfId="1" applyNumberFormat="1" applyFont="1">
      <alignment vertical="top"/>
    </xf>
    <xf numFmtId="178" fontId="0" fillId="0" borderId="0" xfId="1" applyNumberFormat="1" applyFont="1">
      <alignment vertical="top"/>
    </xf>
    <xf numFmtId="167" fontId="17" fillId="0" borderId="0" xfId="0" applyFont="1" applyFill="1" applyBorder="1">
      <alignment vertical="top"/>
    </xf>
    <xf numFmtId="167" fontId="18" fillId="0" borderId="0" xfId="0" applyFont="1" applyBorder="1">
      <alignment vertical="top"/>
    </xf>
    <xf numFmtId="167" fontId="19" fillId="0" borderId="0" xfId="0" applyFont="1" applyBorder="1">
      <alignment vertical="top"/>
    </xf>
    <xf numFmtId="167" fontId="18" fillId="0" borderId="0" xfId="0" applyFont="1">
      <alignment vertical="top"/>
    </xf>
    <xf numFmtId="167" fontId="19" fillId="0" borderId="0" xfId="0" applyFont="1">
      <alignment vertical="top"/>
    </xf>
    <xf numFmtId="167" fontId="19" fillId="3" borderId="0" xfId="0" applyFont="1" applyFill="1" applyBorder="1">
      <alignment vertical="top"/>
    </xf>
    <xf numFmtId="167" fontId="19" fillId="5" borderId="0" xfId="0" applyFont="1" applyFill="1" applyBorder="1">
      <alignment vertical="top"/>
    </xf>
    <xf numFmtId="167" fontId="19" fillId="0" borderId="0" xfId="0" applyFont="1" applyFill="1" applyBorder="1">
      <alignment vertical="top"/>
    </xf>
    <xf numFmtId="167" fontId="19" fillId="4" borderId="0" xfId="0" applyFont="1" applyFill="1" applyBorder="1">
      <alignment vertical="top"/>
    </xf>
    <xf numFmtId="167" fontId="18" fillId="0" borderId="0" xfId="0" applyFont="1" applyFill="1" applyBorder="1">
      <alignment vertical="top"/>
    </xf>
    <xf numFmtId="167" fontId="19" fillId="6" borderId="0" xfId="0" applyFont="1" applyFill="1" applyBorder="1">
      <alignment vertical="top"/>
    </xf>
    <xf numFmtId="174" fontId="0" fillId="0" borderId="0" xfId="6" applyNumberFormat="1" applyFont="1">
      <alignment vertical="top"/>
    </xf>
    <xf numFmtId="179" fontId="0" fillId="0" borderId="0" xfId="6" applyNumberFormat="1" applyFont="1" applyFill="1">
      <alignment vertical="top"/>
    </xf>
    <xf numFmtId="179" fontId="9" fillId="3" borderId="0" xfId="6" applyNumberFormat="1" applyFont="1" applyFill="1">
      <alignment vertical="top"/>
    </xf>
    <xf numFmtId="172" fontId="9" fillId="3" borderId="0" xfId="6" applyFont="1" applyFill="1">
      <alignment vertical="top"/>
    </xf>
    <xf numFmtId="180" fontId="3" fillId="0" borderId="0" xfId="6" applyNumberFormat="1" applyFont="1">
      <alignment vertical="top"/>
    </xf>
    <xf numFmtId="180" fontId="0" fillId="0" borderId="0" xfId="6" applyNumberFormat="1" applyFont="1">
      <alignment vertical="top"/>
    </xf>
    <xf numFmtId="180" fontId="0" fillId="0" borderId="0" xfId="6" applyNumberFormat="1" applyFont="1" applyFill="1">
      <alignment vertical="top"/>
    </xf>
    <xf numFmtId="180" fontId="9" fillId="3" borderId="0" xfId="6" applyNumberFormat="1" applyFont="1" applyFill="1">
      <alignment vertical="top"/>
    </xf>
    <xf numFmtId="180" fontId="9" fillId="0" borderId="0" xfId="6" applyNumberFormat="1" applyFont="1" applyFill="1">
      <alignment vertical="top"/>
    </xf>
    <xf numFmtId="180" fontId="10" fillId="0" borderId="0" xfId="6" applyNumberFormat="1" applyFont="1" applyFill="1">
      <alignment vertical="top"/>
    </xf>
    <xf numFmtId="180" fontId="12" fillId="0" borderId="0" xfId="6" applyNumberFormat="1" applyFont="1" applyFill="1">
      <alignment vertical="top"/>
    </xf>
    <xf numFmtId="174" fontId="0" fillId="3" borderId="0" xfId="6" applyNumberFormat="1" applyFont="1" applyFill="1">
      <alignment vertical="top"/>
    </xf>
    <xf numFmtId="174" fontId="2" fillId="0" borderId="0" xfId="6" applyNumberFormat="1" applyFont="1" applyFill="1">
      <alignment vertical="top"/>
    </xf>
    <xf numFmtId="2" fontId="0" fillId="3" borderId="0" xfId="0" applyNumberFormat="1" applyFill="1">
      <alignment vertical="top"/>
    </xf>
    <xf numFmtId="2" fontId="2" fillId="0" borderId="0" xfId="0" applyNumberFormat="1" applyFont="1">
      <alignment vertical="top"/>
    </xf>
    <xf numFmtId="2" fontId="0" fillId="0" borderId="0" xfId="0" applyNumberFormat="1">
      <alignment vertical="top"/>
    </xf>
    <xf numFmtId="172" fontId="20" fillId="0" borderId="0" xfId="6" applyFont="1" applyFill="1">
      <alignment vertical="top"/>
    </xf>
    <xf numFmtId="167" fontId="9" fillId="0" borderId="0" xfId="0" applyFont="1" applyFill="1" applyAlignment="1">
      <alignment horizontal="center" vertical="top"/>
    </xf>
    <xf numFmtId="43" fontId="9" fillId="3" borderId="0" xfId="0" applyNumberFormat="1" applyFont="1" applyFill="1" applyAlignment="1">
      <alignment horizontal="center" vertical="top"/>
    </xf>
    <xf numFmtId="167" fontId="9" fillId="3" borderId="0" xfId="0" applyFont="1" applyFill="1" applyAlignment="1">
      <alignment horizontal="right" vertical="top"/>
    </xf>
    <xf numFmtId="167" fontId="3" fillId="0" borderId="0" xfId="0" applyFont="1" applyFill="1" applyAlignment="1">
      <alignment horizontal="left" vertical="top"/>
    </xf>
    <xf numFmtId="167" fontId="0" fillId="0" borderId="0" xfId="0" applyAlignment="1">
      <alignment horizontal="left" vertical="top"/>
    </xf>
    <xf numFmtId="167" fontId="9" fillId="3" borderId="0" xfId="0" applyFont="1" applyFill="1">
      <alignment vertical="top"/>
    </xf>
    <xf numFmtId="176" fontId="3" fillId="0" borderId="0" xfId="0" applyNumberFormat="1" applyFont="1">
      <alignment vertical="top"/>
    </xf>
    <xf numFmtId="176" fontId="0" fillId="0" borderId="0" xfId="0" applyNumberFormat="1" applyFont="1">
      <alignment vertical="top"/>
    </xf>
    <xf numFmtId="176" fontId="0" fillId="3" borderId="0" xfId="0" applyNumberFormat="1" applyFont="1" applyFill="1">
      <alignment vertical="top"/>
    </xf>
    <xf numFmtId="165" fontId="0" fillId="0" borderId="0" xfId="0" applyNumberFormat="1">
      <alignment vertical="top"/>
    </xf>
    <xf numFmtId="165" fontId="2" fillId="0" borderId="0" xfId="0" applyNumberFormat="1" applyFont="1" applyFill="1">
      <alignment vertical="top"/>
    </xf>
    <xf numFmtId="167" fontId="12" fillId="0" borderId="0" xfId="0" applyFont="1" applyFill="1">
      <alignment vertical="top"/>
    </xf>
    <xf numFmtId="166" fontId="0" fillId="0" borderId="0" xfId="0" applyNumberFormat="1">
      <alignment vertical="top"/>
    </xf>
    <xf numFmtId="167" fontId="17" fillId="0" borderId="0" xfId="0" applyFont="1">
      <alignment vertical="top"/>
    </xf>
    <xf numFmtId="167" fontId="17" fillId="0" borderId="0" xfId="0" applyFont="1" applyBorder="1">
      <alignment vertical="top"/>
    </xf>
    <xf numFmtId="167" fontId="2" fillId="0" borderId="0" xfId="0" applyFont="1" applyFill="1">
      <alignment vertical="top"/>
    </xf>
    <xf numFmtId="167" fontId="21" fillId="0" borderId="0" xfId="0" applyFont="1" applyFill="1">
      <alignment vertical="top"/>
    </xf>
    <xf numFmtId="167" fontId="21" fillId="0" borderId="0" xfId="0" applyFont="1">
      <alignment vertical="top"/>
    </xf>
    <xf numFmtId="167" fontId="22" fillId="0" borderId="0" xfId="0" applyFont="1">
      <alignment vertical="top"/>
    </xf>
    <xf numFmtId="167" fontId="17" fillId="0" borderId="0" xfId="0" quotePrefix="1" applyFont="1">
      <alignment vertical="top"/>
    </xf>
    <xf numFmtId="167" fontId="23" fillId="0" borderId="0" xfId="0" quotePrefix="1" applyFont="1">
      <alignment vertical="top"/>
    </xf>
    <xf numFmtId="167" fontId="21" fillId="0" borderId="0" xfId="0" applyFont="1" applyBorder="1">
      <alignment vertical="top"/>
    </xf>
    <xf numFmtId="167" fontId="24" fillId="0" borderId="0" xfId="0" applyFont="1" applyBorder="1">
      <alignment vertical="top"/>
    </xf>
    <xf numFmtId="167" fontId="24" fillId="0" borderId="0" xfId="0" applyFont="1">
      <alignment vertical="top"/>
    </xf>
    <xf numFmtId="172" fontId="0" fillId="3" borderId="0" xfId="6" applyFont="1" applyFill="1">
      <alignment vertical="top"/>
    </xf>
    <xf numFmtId="172" fontId="2" fillId="0" borderId="0" xfId="6" applyFont="1" applyFill="1">
      <alignment vertical="top"/>
    </xf>
    <xf numFmtId="175" fontId="0" fillId="3" borderId="0" xfId="0" applyNumberFormat="1" applyFont="1" applyFill="1">
      <alignment vertical="top"/>
    </xf>
    <xf numFmtId="167" fontId="9" fillId="2" borderId="0" xfId="0" applyFont="1" applyFill="1">
      <alignment vertical="top"/>
    </xf>
    <xf numFmtId="180" fontId="12" fillId="0" borderId="0" xfId="6" applyNumberFormat="1" applyFont="1" applyFill="1" applyAlignment="1">
      <alignment horizontal="right" vertical="top"/>
    </xf>
    <xf numFmtId="167" fontId="0" fillId="0" borderId="0" xfId="0" applyFont="1" applyFill="1" applyAlignment="1">
      <alignment horizontal="right" vertical="top"/>
    </xf>
    <xf numFmtId="167" fontId="15" fillId="0" borderId="0" xfId="0" applyFont="1" applyFill="1">
      <alignment vertical="top"/>
    </xf>
    <xf numFmtId="167" fontId="15" fillId="0" borderId="0" xfId="0" applyFont="1">
      <alignment vertical="top"/>
    </xf>
    <xf numFmtId="179" fontId="15" fillId="0" borderId="0" xfId="6" applyNumberFormat="1" applyFont="1">
      <alignment vertical="top"/>
    </xf>
    <xf numFmtId="175" fontId="15" fillId="0" borderId="0" xfId="0" applyNumberFormat="1" applyFont="1">
      <alignment vertical="top"/>
    </xf>
    <xf numFmtId="172" fontId="15" fillId="0" borderId="0" xfId="6" applyFont="1">
      <alignment vertical="top"/>
    </xf>
    <xf numFmtId="180" fontId="15" fillId="0" borderId="0" xfId="6" applyNumberFormat="1" applyFont="1">
      <alignment vertical="top"/>
    </xf>
    <xf numFmtId="167" fontId="12" fillId="0" borderId="0" xfId="0" applyFont="1" applyFill="1" applyAlignment="1">
      <alignment vertical="top" wrapText="1"/>
    </xf>
    <xf numFmtId="172" fontId="12" fillId="0" borderId="0" xfId="6" applyFont="1" applyFill="1">
      <alignment vertical="top"/>
    </xf>
    <xf numFmtId="175" fontId="12" fillId="0" borderId="0" xfId="0" applyNumberFormat="1" applyFont="1" applyFill="1">
      <alignment vertical="top"/>
    </xf>
    <xf numFmtId="172" fontId="25" fillId="0" borderId="0" xfId="6" applyFont="1" applyFill="1">
      <alignment vertical="top"/>
    </xf>
    <xf numFmtId="167" fontId="12" fillId="0" borderId="0" xfId="0" applyFont="1" applyFill="1" applyAlignment="1">
      <alignment horizontal="center" vertical="top" wrapText="1"/>
    </xf>
    <xf numFmtId="167" fontId="15" fillId="0" borderId="0" xfId="0" applyFont="1" applyAlignment="1">
      <alignment vertical="top" wrapText="1"/>
    </xf>
    <xf numFmtId="176" fontId="15" fillId="0" borderId="0" xfId="0" applyNumberFormat="1" applyFont="1">
      <alignment vertical="top"/>
    </xf>
    <xf numFmtId="175" fontId="15" fillId="0" borderId="0" xfId="0" applyNumberFormat="1" applyFont="1" applyBorder="1">
      <alignment vertical="top"/>
    </xf>
    <xf numFmtId="175" fontId="15" fillId="0" borderId="0" xfId="0" applyNumberFormat="1" applyFont="1" applyFill="1">
      <alignment vertical="top"/>
    </xf>
    <xf numFmtId="177" fontId="15" fillId="0" borderId="0" xfId="0" applyNumberFormat="1" applyFont="1">
      <alignment vertical="top"/>
    </xf>
    <xf numFmtId="172" fontId="26" fillId="0" borderId="0" xfId="6" applyFont="1">
      <alignment vertical="top"/>
    </xf>
    <xf numFmtId="173" fontId="15" fillId="0" borderId="0" xfId="1" applyNumberFormat="1" applyFont="1">
      <alignment vertical="top"/>
    </xf>
    <xf numFmtId="167" fontId="26" fillId="0" borderId="0" xfId="0" applyFont="1">
      <alignment vertical="top"/>
    </xf>
    <xf numFmtId="175" fontId="12" fillId="0" borderId="0" xfId="0" applyNumberFormat="1" applyFont="1" applyBorder="1">
      <alignment vertical="top"/>
    </xf>
    <xf numFmtId="175" fontId="15" fillId="0" borderId="0" xfId="0" applyNumberFormat="1" applyFont="1" applyFill="1" applyBorder="1">
      <alignment vertical="top"/>
    </xf>
    <xf numFmtId="167" fontId="26" fillId="0" borderId="0" xfId="0" applyFont="1" applyBorder="1">
      <alignment vertical="top"/>
    </xf>
    <xf numFmtId="177" fontId="12" fillId="0" borderId="0" xfId="0" applyNumberFormat="1" applyFont="1" applyFill="1">
      <alignment vertical="top"/>
    </xf>
    <xf numFmtId="176" fontId="15" fillId="0" borderId="0" xfId="3" applyNumberFormat="1" applyFont="1">
      <alignment vertical="top"/>
    </xf>
    <xf numFmtId="167" fontId="27" fillId="0" borderId="0" xfId="0" applyFont="1" applyBorder="1">
      <alignment vertical="top"/>
    </xf>
    <xf numFmtId="171" fontId="15" fillId="0" borderId="0" xfId="5" applyFont="1" applyFill="1">
      <alignment vertical="top"/>
    </xf>
    <xf numFmtId="177" fontId="15" fillId="0" borderId="0" xfId="0" applyNumberFormat="1" applyFont="1" applyFill="1">
      <alignment vertical="top"/>
    </xf>
    <xf numFmtId="174" fontId="12" fillId="0" borderId="0" xfId="6" applyNumberFormat="1" applyFont="1">
      <alignment vertical="top"/>
    </xf>
    <xf numFmtId="178" fontId="15" fillId="0" borderId="0" xfId="1" applyNumberFormat="1" applyFont="1">
      <alignment vertical="top"/>
    </xf>
    <xf numFmtId="169" fontId="12" fillId="0" borderId="0" xfId="3" applyFont="1">
      <alignment vertical="top"/>
    </xf>
    <xf numFmtId="169" fontId="15" fillId="0" borderId="0" xfId="3" applyFont="1">
      <alignment vertical="top"/>
    </xf>
    <xf numFmtId="178" fontId="9" fillId="0" borderId="1" xfId="1" applyNumberFormat="1" applyFont="1" applyFill="1" applyBorder="1">
      <alignment vertical="top"/>
    </xf>
    <xf numFmtId="167" fontId="2" fillId="0" borderId="0" xfId="0" applyFont="1" applyFill="1" applyBorder="1">
      <alignment vertical="top"/>
    </xf>
    <xf numFmtId="172" fontId="8" fillId="0" borderId="0" xfId="6" applyFont="1" applyFill="1">
      <alignment vertical="top"/>
    </xf>
    <xf numFmtId="176" fontId="0" fillId="0" borderId="0" xfId="3" applyNumberFormat="1" applyFont="1" applyFill="1">
      <alignment vertical="top"/>
    </xf>
    <xf numFmtId="167" fontId="24" fillId="0" borderId="0" xfId="0" applyFont="1" applyFill="1" applyBorder="1">
      <alignment vertical="top"/>
    </xf>
    <xf numFmtId="167" fontId="24" fillId="0" borderId="0" xfId="0" applyFont="1" applyFill="1">
      <alignment vertical="top"/>
    </xf>
    <xf numFmtId="175" fontId="9" fillId="0" borderId="0" xfId="0" applyNumberFormat="1" applyFont="1" applyFill="1" applyBorder="1">
      <alignment vertical="top"/>
    </xf>
    <xf numFmtId="167" fontId="9" fillId="0" borderId="1" xfId="0" applyFont="1" applyFill="1" applyBorder="1">
      <alignment vertical="top"/>
    </xf>
    <xf numFmtId="167" fontId="29" fillId="0" borderId="0" xfId="0" applyFont="1" applyFill="1">
      <alignment vertical="top"/>
    </xf>
    <xf numFmtId="167" fontId="30" fillId="0" borderId="0" xfId="0" applyFont="1">
      <alignment vertical="top"/>
    </xf>
    <xf numFmtId="167" fontId="30" fillId="0" borderId="0" xfId="0" applyFont="1" applyBorder="1">
      <alignment vertical="top"/>
    </xf>
    <xf numFmtId="167" fontId="30" fillId="0" borderId="0" xfId="0" applyFont="1" applyFill="1" applyBorder="1">
      <alignment vertical="top"/>
    </xf>
    <xf numFmtId="167" fontId="29" fillId="0" borderId="0" xfId="0" applyFont="1" applyFill="1" applyBorder="1">
      <alignment vertical="top"/>
    </xf>
    <xf numFmtId="167" fontId="29" fillId="0" borderId="0" xfId="0" applyFont="1" applyBorder="1">
      <alignment vertical="top"/>
    </xf>
    <xf numFmtId="167" fontId="29" fillId="0" borderId="0" xfId="0" applyFont="1">
      <alignment vertical="top"/>
    </xf>
    <xf numFmtId="167" fontId="10" fillId="0" borderId="0" xfId="0" applyFont="1" applyFill="1" applyAlignment="1">
      <alignment vertical="center"/>
    </xf>
    <xf numFmtId="167" fontId="0" fillId="0" borderId="0" xfId="0" applyFont="1" applyAlignment="1">
      <alignment horizontal="right" vertical="top"/>
    </xf>
    <xf numFmtId="177" fontId="8" fillId="0" borderId="0" xfId="0" applyNumberFormat="1" applyFont="1" applyFill="1">
      <alignment vertical="top"/>
    </xf>
    <xf numFmtId="167" fontId="15" fillId="0" borderId="0" xfId="0" applyFont="1" applyAlignment="1">
      <alignment horizontal="right" vertical="top"/>
    </xf>
    <xf numFmtId="167" fontId="10" fillId="0" borderId="1" xfId="0" applyFont="1" applyBorder="1">
      <alignment vertical="top"/>
    </xf>
    <xf numFmtId="167" fontId="10" fillId="0" borderId="1" xfId="0" applyFont="1" applyFill="1" applyBorder="1">
      <alignment vertical="top"/>
    </xf>
    <xf numFmtId="167" fontId="8" fillId="0" borderId="0" xfId="0" applyFont="1">
      <alignment vertical="top"/>
    </xf>
    <xf numFmtId="177" fontId="10" fillId="0" borderId="0" xfId="0" applyNumberFormat="1" applyFont="1">
      <alignment vertical="top"/>
    </xf>
    <xf numFmtId="177" fontId="12" fillId="0" borderId="0" xfId="0" applyNumberFormat="1" applyFont="1">
      <alignment vertical="top"/>
    </xf>
    <xf numFmtId="177" fontId="9" fillId="2" borderId="0" xfId="0" applyNumberFormat="1" applyFont="1" applyFill="1">
      <alignment vertical="top"/>
    </xf>
    <xf numFmtId="174" fontId="9" fillId="2" borderId="0" xfId="0" applyNumberFormat="1" applyFont="1" applyFill="1">
      <alignment vertical="top"/>
    </xf>
    <xf numFmtId="178" fontId="9" fillId="2" borderId="0" xfId="0" applyNumberFormat="1" applyFont="1" applyFill="1">
      <alignment vertical="top"/>
    </xf>
    <xf numFmtId="170" fontId="9" fillId="2" borderId="0" xfId="0" applyNumberFormat="1" applyFont="1" applyFill="1">
      <alignment vertical="top"/>
    </xf>
    <xf numFmtId="167" fontId="9" fillId="2" borderId="1" xfId="0" applyFont="1" applyFill="1" applyBorder="1">
      <alignment vertical="top"/>
    </xf>
    <xf numFmtId="174" fontId="9" fillId="0" borderId="0" xfId="0" applyNumberFormat="1" applyFont="1" applyFill="1">
      <alignment vertical="top"/>
    </xf>
    <xf numFmtId="178" fontId="9" fillId="0" borderId="0" xfId="0" applyNumberFormat="1" applyFont="1" applyFill="1">
      <alignment vertical="top"/>
    </xf>
    <xf numFmtId="170" fontId="9" fillId="0" borderId="0" xfId="0" applyNumberFormat="1" applyFont="1" applyFill="1">
      <alignment vertical="top"/>
    </xf>
    <xf numFmtId="167" fontId="6" fillId="0" borderId="0" xfId="0" applyFont="1">
      <alignment vertical="top"/>
    </xf>
    <xf numFmtId="167" fontId="6" fillId="0" borderId="0" xfId="0" applyFont="1" applyFill="1">
      <alignment vertical="top"/>
    </xf>
    <xf numFmtId="167" fontId="9" fillId="0" borderId="1" xfId="0" applyFont="1" applyBorder="1">
      <alignment vertical="top"/>
    </xf>
    <xf numFmtId="167" fontId="0" fillId="0" borderId="1" xfId="0" applyFont="1" applyBorder="1">
      <alignment vertical="top"/>
    </xf>
    <xf numFmtId="178" fontId="9" fillId="0" borderId="0" xfId="1" applyNumberFormat="1" applyFont="1" applyFill="1">
      <alignment vertical="top"/>
    </xf>
    <xf numFmtId="168" fontId="3" fillId="0" borderId="0" xfId="1" applyFont="1">
      <alignment vertical="top"/>
    </xf>
    <xf numFmtId="168" fontId="15" fillId="0" borderId="0" xfId="1" applyFont="1">
      <alignment vertical="top"/>
    </xf>
    <xf numFmtId="168" fontId="8" fillId="0" borderId="0" xfId="1" applyFont="1" applyFill="1">
      <alignment vertical="top"/>
    </xf>
    <xf numFmtId="168" fontId="9" fillId="0" borderId="0" xfId="1" applyFont="1" applyFill="1">
      <alignment vertical="top"/>
    </xf>
    <xf numFmtId="174" fontId="9" fillId="0" borderId="0" xfId="6" applyNumberFormat="1" applyFont="1" applyFill="1">
      <alignment vertical="top"/>
    </xf>
    <xf numFmtId="167" fontId="9" fillId="4" borderId="0" xfId="0" applyFont="1" applyFill="1">
      <alignment vertical="top"/>
    </xf>
    <xf numFmtId="180" fontId="9" fillId="0" borderId="0" xfId="2" applyNumberFormat="1" applyFont="1" applyFill="1" applyAlignment="1">
      <alignment vertical="top"/>
    </xf>
    <xf numFmtId="172" fontId="9" fillId="0" borderId="0" xfId="6" applyFont="1" applyFill="1" applyAlignment="1">
      <alignment horizontal="right" vertical="top"/>
    </xf>
    <xf numFmtId="174" fontId="9" fillId="0" borderId="0" xfId="6" applyNumberFormat="1" applyFont="1" applyBorder="1">
      <alignment vertical="top"/>
    </xf>
    <xf numFmtId="174" fontId="10" fillId="0" borderId="0" xfId="6" applyNumberFormat="1" applyFont="1" applyBorder="1">
      <alignment vertical="top"/>
    </xf>
    <xf numFmtId="174" fontId="12" fillId="0" borderId="0" xfId="6" applyNumberFormat="1" applyFont="1" applyBorder="1">
      <alignment vertical="top"/>
    </xf>
    <xf numFmtId="174" fontId="0" fillId="0" borderId="0" xfId="6" applyNumberFormat="1" applyFont="1" applyBorder="1">
      <alignment vertical="top"/>
    </xf>
    <xf numFmtId="174" fontId="3" fillId="0" borderId="0" xfId="6" applyNumberFormat="1" applyFont="1" applyBorder="1">
      <alignment vertical="top"/>
    </xf>
    <xf numFmtId="174" fontId="15" fillId="0" borderId="0" xfId="6" applyNumberFormat="1" applyFont="1" applyBorder="1">
      <alignment vertical="top"/>
    </xf>
    <xf numFmtId="176" fontId="0" fillId="0" borderId="0" xfId="0" applyNumberFormat="1" applyFont="1" applyFill="1">
      <alignment vertical="top"/>
    </xf>
    <xf numFmtId="176" fontId="9" fillId="3" borderId="0" xfId="0" applyNumberFormat="1" applyFont="1" applyFill="1">
      <alignment vertical="top"/>
    </xf>
    <xf numFmtId="176" fontId="8" fillId="0" borderId="0" xfId="3" applyNumberFormat="1" applyFont="1" applyFill="1">
      <alignment vertical="top"/>
    </xf>
    <xf numFmtId="167" fontId="9" fillId="0" borderId="0" xfId="0" applyFont="1" applyBorder="1">
      <alignment vertical="top"/>
    </xf>
    <xf numFmtId="167" fontId="9" fillId="0" borderId="0" xfId="0" applyFont="1" applyFill="1" applyBorder="1">
      <alignment vertical="top"/>
    </xf>
    <xf numFmtId="167" fontId="9" fillId="0" borderId="0" xfId="0" applyFont="1" applyAlignment="1">
      <alignment horizontal="right" vertical="top"/>
    </xf>
    <xf numFmtId="168" fontId="10" fillId="0" borderId="0" xfId="1" applyFont="1">
      <alignment vertical="top"/>
    </xf>
    <xf numFmtId="168" fontId="12" fillId="0" borderId="0" xfId="1" applyFont="1">
      <alignment vertical="top"/>
    </xf>
    <xf numFmtId="168" fontId="9" fillId="0" borderId="0" xfId="1" applyFont="1">
      <alignment vertical="top"/>
    </xf>
    <xf numFmtId="172" fontId="10" fillId="4" borderId="0" xfId="6" applyFont="1" applyFill="1">
      <alignment vertical="top"/>
    </xf>
    <xf numFmtId="167" fontId="15" fillId="4" borderId="0" xfId="0" applyFont="1" applyFill="1" applyAlignment="1">
      <alignment horizontal="right" vertical="top"/>
    </xf>
    <xf numFmtId="167" fontId="15" fillId="0" borderId="0" xfId="0" applyFont="1" applyBorder="1">
      <alignment vertical="top"/>
    </xf>
    <xf numFmtId="167" fontId="1" fillId="0" borderId="0" xfId="0" quotePrefix="1" applyFont="1" applyFill="1">
      <alignment vertical="top"/>
    </xf>
    <xf numFmtId="167" fontId="9" fillId="0" borderId="0" xfId="0" applyFont="1" applyAlignment="1">
      <alignment horizontal="left" vertical="top"/>
    </xf>
    <xf numFmtId="167" fontId="0" fillId="4" borderId="0" xfId="0" applyFill="1">
      <alignment vertical="top"/>
    </xf>
    <xf numFmtId="175" fontId="10" fillId="4" borderId="0" xfId="0" applyNumberFormat="1" applyFont="1" applyFill="1">
      <alignment vertical="top"/>
    </xf>
    <xf numFmtId="179" fontId="0" fillId="4" borderId="0" xfId="6" applyNumberFormat="1" applyFont="1" applyFill="1">
      <alignment vertical="top"/>
    </xf>
    <xf numFmtId="172" fontId="0" fillId="4" borderId="0" xfId="6" applyFont="1" applyFill="1">
      <alignment vertical="top"/>
    </xf>
    <xf numFmtId="175" fontId="0" fillId="4" borderId="0" xfId="0" applyNumberFormat="1" applyFont="1" applyFill="1">
      <alignment vertical="top"/>
    </xf>
    <xf numFmtId="175" fontId="9" fillId="4" borderId="0" xfId="0" applyNumberFormat="1" applyFont="1" applyFill="1">
      <alignment vertical="top"/>
    </xf>
    <xf numFmtId="176" fontId="0" fillId="4" borderId="0" xfId="0" applyNumberFormat="1" applyFont="1" applyFill="1">
      <alignment vertical="top"/>
    </xf>
    <xf numFmtId="177" fontId="9" fillId="4" borderId="0" xfId="0" applyNumberFormat="1" applyFont="1" applyFill="1">
      <alignment vertical="top"/>
    </xf>
    <xf numFmtId="168" fontId="9" fillId="4" borderId="0" xfId="1" applyFont="1" applyFill="1">
      <alignment vertical="top"/>
    </xf>
    <xf numFmtId="168" fontId="0" fillId="4" borderId="0" xfId="1" applyFont="1" applyFill="1">
      <alignment vertical="top"/>
    </xf>
    <xf numFmtId="167" fontId="9" fillId="2" borderId="0" xfId="0" applyFont="1" applyFill="1" applyBorder="1">
      <alignment vertical="top"/>
    </xf>
    <xf numFmtId="167" fontId="15" fillId="2" borderId="0" xfId="0" applyFont="1" applyFill="1" applyAlignment="1">
      <alignment horizontal="right" vertical="top"/>
    </xf>
    <xf numFmtId="167" fontId="9" fillId="2" borderId="0" xfId="0" applyFont="1" applyFill="1" applyAlignment="1">
      <alignment horizontal="right" vertical="top"/>
    </xf>
    <xf numFmtId="168" fontId="9" fillId="2" borderId="0" xfId="1" applyFont="1" applyFill="1">
      <alignment vertical="top"/>
    </xf>
    <xf numFmtId="175" fontId="9" fillId="3" borderId="0" xfId="0" applyNumberFormat="1" applyFont="1" applyFill="1" applyAlignment="1">
      <alignment horizontal="right" vertical="top"/>
    </xf>
    <xf numFmtId="179" fontId="9" fillId="0" borderId="0" xfId="6" applyNumberFormat="1" applyFont="1" applyFill="1">
      <alignment vertical="top"/>
    </xf>
    <xf numFmtId="176" fontId="9" fillId="0" borderId="0" xfId="0" applyNumberFormat="1" applyFont="1" applyFill="1">
      <alignment vertical="top"/>
    </xf>
    <xf numFmtId="172" fontId="9" fillId="4" borderId="0" xfId="6" applyFont="1" applyFill="1">
      <alignment vertical="top"/>
    </xf>
    <xf numFmtId="172" fontId="9" fillId="3" borderId="0" xfId="6" applyFont="1" applyFill="1" applyAlignment="1">
      <alignment horizontal="center" vertical="top"/>
    </xf>
    <xf numFmtId="164" fontId="31" fillId="0" borderId="0" xfId="7" applyFont="1" applyFill="1" applyAlignment="1">
      <alignment vertical="top"/>
    </xf>
    <xf numFmtId="175" fontId="28" fillId="0" borderId="0" xfId="0" applyNumberFormat="1" applyFont="1" applyBorder="1">
      <alignment vertical="top"/>
    </xf>
    <xf numFmtId="175" fontId="28" fillId="0" borderId="0" xfId="0" applyNumberFormat="1" applyFont="1" applyFill="1">
      <alignment vertical="top"/>
    </xf>
    <xf numFmtId="173" fontId="8" fillId="0" borderId="0" xfId="1" applyNumberFormat="1" applyFont="1" applyFill="1">
      <alignment vertical="top"/>
    </xf>
    <xf numFmtId="173" fontId="3" fillId="0" borderId="0" xfId="1" applyNumberFormat="1" applyFont="1" applyFill="1">
      <alignment vertical="top"/>
    </xf>
    <xf numFmtId="173" fontId="15" fillId="0" borderId="0" xfId="1" applyNumberFormat="1" applyFont="1" applyFill="1">
      <alignment vertical="top"/>
    </xf>
    <xf numFmtId="167" fontId="15" fillId="0" borderId="0" xfId="0" applyFont="1" applyFill="1" applyBorder="1">
      <alignment vertical="top"/>
    </xf>
    <xf numFmtId="167" fontId="0" fillId="3" borderId="0" xfId="0" applyFont="1" applyFill="1" applyAlignment="1">
      <alignment horizontal="right" vertical="top"/>
    </xf>
    <xf numFmtId="179" fontId="10" fillId="0" borderId="0" xfId="6" applyNumberFormat="1" applyFont="1">
      <alignment vertical="top"/>
    </xf>
    <xf numFmtId="179" fontId="12" fillId="0" borderId="0" xfId="6" applyNumberFormat="1" applyFont="1">
      <alignment vertical="top"/>
    </xf>
    <xf numFmtId="179" fontId="9" fillId="4" borderId="0" xfId="6" applyNumberFormat="1" applyFont="1" applyFill="1">
      <alignment vertical="top"/>
    </xf>
    <xf numFmtId="179" fontId="9" fillId="0" borderId="0" xfId="6" applyNumberFormat="1" applyFont="1">
      <alignment vertical="top"/>
    </xf>
    <xf numFmtId="174" fontId="8" fillId="0" borderId="0" xfId="0" applyNumberFormat="1" applyFont="1">
      <alignment vertical="top"/>
    </xf>
    <xf numFmtId="175" fontId="9" fillId="0" borderId="0" xfId="0" applyNumberFormat="1" applyFont="1" applyFill="1" applyAlignment="1">
      <alignment vertical="top" wrapText="1"/>
    </xf>
    <xf numFmtId="175" fontId="9" fillId="4" borderId="0" xfId="0" applyNumberFormat="1" applyFont="1" applyFill="1" applyAlignment="1">
      <alignment horizontal="center" vertical="top" wrapText="1"/>
    </xf>
    <xf numFmtId="167" fontId="8" fillId="0" borderId="0" xfId="6" applyNumberFormat="1" applyFont="1" applyFill="1">
      <alignment vertical="top"/>
    </xf>
    <xf numFmtId="174" fontId="3" fillId="0" borderId="0" xfId="6" applyNumberFormat="1" applyFont="1">
      <alignment vertical="top"/>
    </xf>
    <xf numFmtId="172" fontId="3" fillId="0" borderId="0" xfId="6" applyFont="1" applyFill="1">
      <alignment vertical="top"/>
    </xf>
    <xf numFmtId="172" fontId="9" fillId="0" borderId="0" xfId="6" applyFont="1" applyBorder="1">
      <alignment vertical="top"/>
    </xf>
    <xf numFmtId="172" fontId="2" fillId="0" borderId="0" xfId="6" applyFont="1" applyBorder="1">
      <alignment vertical="top"/>
    </xf>
    <xf numFmtId="172" fontId="28" fillId="0" borderId="0" xfId="6" applyFont="1" applyBorder="1">
      <alignment vertical="top"/>
    </xf>
    <xf numFmtId="172" fontId="1" fillId="0" borderId="0" xfId="6" applyFont="1" applyBorder="1">
      <alignment vertical="top"/>
    </xf>
    <xf numFmtId="172" fontId="8" fillId="0" borderId="0" xfId="6" applyFont="1" applyBorder="1">
      <alignment vertical="top"/>
    </xf>
    <xf numFmtId="172" fontId="8" fillId="0" borderId="0" xfId="6" applyFont="1" applyFill="1" applyBorder="1">
      <alignment vertical="top"/>
    </xf>
    <xf numFmtId="172" fontId="10" fillId="0" borderId="1" xfId="6" applyFont="1" applyBorder="1">
      <alignment vertical="top"/>
    </xf>
    <xf numFmtId="172" fontId="6" fillId="0" borderId="0" xfId="6" applyFont="1">
      <alignment vertical="top"/>
    </xf>
    <xf numFmtId="172" fontId="0" fillId="0" borderId="1" xfId="6" applyFont="1" applyBorder="1">
      <alignment vertical="top"/>
    </xf>
    <xf numFmtId="172" fontId="6" fillId="0" borderId="0" xfId="6" applyFont="1" applyFill="1">
      <alignment vertical="top"/>
    </xf>
    <xf numFmtId="172" fontId="9" fillId="0" borderId="0" xfId="6" applyFont="1">
      <alignment vertical="top"/>
    </xf>
    <xf numFmtId="172" fontId="9" fillId="0" borderId="1" xfId="6" applyFont="1" applyBorder="1">
      <alignment vertical="top"/>
    </xf>
    <xf numFmtId="172" fontId="1" fillId="0" borderId="0" xfId="6" applyFont="1" applyFill="1">
      <alignment vertical="top"/>
    </xf>
    <xf numFmtId="172" fontId="16" fillId="0" borderId="0" xfId="6" applyFont="1" applyBorder="1">
      <alignment vertical="top"/>
    </xf>
    <xf numFmtId="172" fontId="9" fillId="0" borderId="0" xfId="6" applyFont="1" applyFill="1" applyBorder="1">
      <alignment vertical="top"/>
    </xf>
    <xf numFmtId="167" fontId="3" fillId="0" borderId="0" xfId="0" applyFont="1" applyFill="1" applyAlignment="1">
      <alignment horizontal="right" vertical="top"/>
    </xf>
    <xf numFmtId="175" fontId="10" fillId="0" borderId="0" xfId="0" applyNumberFormat="1" applyFont="1" applyFill="1" applyAlignment="1">
      <alignment vertical="top" wrapText="1"/>
    </xf>
    <xf numFmtId="180" fontId="9" fillId="0" borderId="0" xfId="2" applyNumberFormat="1" applyFont="1" applyFill="1" applyAlignment="1">
      <alignment vertical="top" wrapText="1"/>
    </xf>
    <xf numFmtId="0" fontId="9" fillId="0" borderId="0" xfId="6" applyNumberFormat="1" applyFont="1" applyFill="1" applyAlignment="1">
      <alignment vertical="top" wrapText="1"/>
    </xf>
    <xf numFmtId="167" fontId="32" fillId="0" borderId="0" xfId="0" applyFont="1">
      <alignment vertical="top"/>
    </xf>
    <xf numFmtId="167" fontId="32" fillId="0" borderId="0" xfId="0" quotePrefix="1" applyFont="1">
      <alignment vertical="top"/>
    </xf>
    <xf numFmtId="167" fontId="8" fillId="0" borderId="0" xfId="6" applyNumberFormat="1" applyFont="1">
      <alignment vertical="top"/>
    </xf>
    <xf numFmtId="167" fontId="0" fillId="0" borderId="0" xfId="0" applyFont="1" applyFill="1" applyAlignment="1">
      <alignment vertical="top" wrapText="1"/>
    </xf>
    <xf numFmtId="175" fontId="0" fillId="0" borderId="0" xfId="0" applyNumberFormat="1" applyFont="1" applyAlignment="1">
      <alignment vertical="top" wrapText="1"/>
    </xf>
    <xf numFmtId="175" fontId="10" fillId="0" borderId="0" xfId="0" applyNumberFormat="1" applyFont="1">
      <alignment vertical="top"/>
    </xf>
    <xf numFmtId="175" fontId="12" fillId="0" borderId="0" xfId="0" applyNumberFormat="1" applyFont="1">
      <alignment vertical="top"/>
    </xf>
    <xf numFmtId="175" fontId="0" fillId="0" borderId="0" xfId="0" applyNumberFormat="1" applyFill="1">
      <alignment vertical="top"/>
    </xf>
    <xf numFmtId="175" fontId="9" fillId="0" borderId="0" xfId="0" applyNumberFormat="1" applyFont="1" applyFill="1" applyAlignment="1">
      <alignment horizontal="right" vertical="top" wrapText="1"/>
    </xf>
    <xf numFmtId="175" fontId="9" fillId="3" borderId="0" xfId="0" applyNumberFormat="1" applyFont="1" applyFill="1" applyAlignment="1">
      <alignment horizontal="right" vertical="top" wrapText="1"/>
    </xf>
    <xf numFmtId="170" fontId="3" fillId="0" borderId="0" xfId="4" applyFont="1" applyFill="1">
      <alignment vertical="top"/>
    </xf>
    <xf numFmtId="170" fontId="15" fillId="0" borderId="0" xfId="4" applyFont="1" applyFill="1">
      <alignment vertical="top"/>
    </xf>
    <xf numFmtId="170" fontId="8" fillId="0" borderId="0" xfId="4" applyFont="1" applyFill="1">
      <alignment vertical="top"/>
    </xf>
    <xf numFmtId="170" fontId="0" fillId="0" borderId="0" xfId="4" applyFont="1" applyFill="1">
      <alignment vertical="top"/>
    </xf>
    <xf numFmtId="178" fontId="8" fillId="0" borderId="0" xfId="1" applyNumberFormat="1" applyFont="1" applyFill="1">
      <alignment vertical="top"/>
    </xf>
    <xf numFmtId="171" fontId="8" fillId="0" borderId="0" xfId="0" applyNumberFormat="1" applyFont="1" applyFill="1">
      <alignment vertical="top"/>
    </xf>
    <xf numFmtId="175" fontId="5" fillId="0" borderId="0" xfId="2" applyNumberFormat="1" applyFill="1" applyAlignment="1">
      <alignment vertical="top" wrapText="1"/>
    </xf>
    <xf numFmtId="167" fontId="0" fillId="0" borderId="0" xfId="0" applyFill="1" applyAlignment="1">
      <alignment horizontal="center" vertical="top"/>
    </xf>
    <xf numFmtId="167" fontId="0" fillId="4" borderId="0" xfId="0" applyFont="1" applyFill="1">
      <alignment vertical="top"/>
    </xf>
    <xf numFmtId="167" fontId="3" fillId="0" borderId="0" xfId="0" applyFont="1" applyAlignment="1">
      <alignment horizontal="right" vertical="center" wrapText="1"/>
    </xf>
  </cellXfs>
  <cellStyles count="8">
    <cellStyle name="Comma 2" xfId="7" xr:uid="{AF3226D7-43EA-40BA-9622-4E7DE3464C3A}"/>
    <cellStyle name="DateLong" xfId="4" xr:uid="{B8250B3D-B8CD-472B-B5E1-BEE016EA31EC}"/>
    <cellStyle name="DateShort" xfId="5" xr:uid="{4C90380D-2D70-4227-8FD4-414607C29176}"/>
    <cellStyle name="Factor" xfId="3" xr:uid="{16C7B1B8-97BF-4590-8DFA-C251641F9BC0}"/>
    <cellStyle name="Hyperlink" xfId="2" builtinId="8"/>
    <cellStyle name="Normal" xfId="0" builtinId="0" customBuiltin="1"/>
    <cellStyle name="Percent" xfId="1" builtinId="5" customBuiltin="1"/>
    <cellStyle name="Year" xfId="6" xr:uid="{E583266C-0A4B-43DC-9E86-D124D3CA4133}"/>
  </cellStyles>
  <dxfs count="0"/>
  <tableStyles count="0" defaultTableStyle="TableStyleMedium2" defaultPivotStyle="PivotStyleLight16"/>
  <colors>
    <mruColors>
      <color rgb="FFCCFFFF"/>
      <color rgb="FFFFFF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45719</xdr:colOff>
      <xdr:row>29</xdr:row>
      <xdr:rowOff>71325</xdr:rowOff>
    </xdr:from>
    <xdr:to>
      <xdr:col>4</xdr:col>
      <xdr:colOff>1052830</xdr:colOff>
      <xdr:row>44</xdr:row>
      <xdr:rowOff>78760</xdr:rowOff>
    </xdr:to>
    <xdr:pic>
      <xdr:nvPicPr>
        <xdr:cNvPr id="2" name="Picture 1">
          <a:extLst>
            <a:ext uri="{FF2B5EF4-FFF2-40B4-BE49-F238E27FC236}">
              <a16:creationId xmlns:a16="http://schemas.microsoft.com/office/drawing/2014/main" id="{7DF841CC-ABC7-5FC9-B42F-C8065D51F3A2}"/>
            </a:ext>
          </a:extLst>
        </xdr:cNvPr>
        <xdr:cNvPicPr>
          <a:picLocks noChangeAspect="1"/>
        </xdr:cNvPicPr>
      </xdr:nvPicPr>
      <xdr:blipFill>
        <a:blip xmlns:r="http://schemas.openxmlformats.org/officeDocument/2006/relationships" r:embed="rId1"/>
        <a:stretch>
          <a:fillRect/>
        </a:stretch>
      </xdr:blipFill>
      <xdr:spPr>
        <a:xfrm>
          <a:off x="289559" y="5077665"/>
          <a:ext cx="4122421" cy="252203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iisd.org/system/files/publications/sustainable-asset-valuation-tool-roads.pdf%20%20%20and%20data%20from%20SAVi%20Model" TargetMode="External"/><Relationship Id="rId1" Type="http://schemas.openxmlformats.org/officeDocument/2006/relationships/hyperlink" Target="https://www.rba.gov.au/calculator/annualDecimal.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7C8E6-A45B-4CAB-AFFD-3FB66AAA0C44}">
  <sheetPr>
    <pageSetUpPr fitToPage="1"/>
  </sheetPr>
  <dimension ref="A1:F52"/>
  <sheetViews>
    <sheetView showGridLines="0" zoomScaleNormal="100" workbookViewId="0">
      <pane ySplit="1" topLeftCell="A29" activePane="bottomLeft" state="frozen"/>
      <selection activeCell="F40" sqref="F40"/>
      <selection pane="bottomLeft" activeCell="D57" sqref="D57"/>
    </sheetView>
  </sheetViews>
  <sheetFormatPr defaultColWidth="8.88671875" defaultRowHeight="13.2" x14ac:dyDescent="0.3"/>
  <cols>
    <col min="1" max="1" width="1.88671875" style="161" customWidth="1"/>
    <col min="2" max="2" width="1.88671875" style="167" customWidth="1"/>
    <col min="3" max="3" width="1.88671875" style="219" customWidth="1"/>
    <col min="4" max="4" width="45.5546875" style="157" customWidth="1"/>
    <col min="5" max="5" width="19.5546875" style="161" bestFit="1" customWidth="1"/>
    <col min="6" max="6" width="1.88671875" style="161" customWidth="1"/>
    <col min="7" max="16384" width="8.88671875" style="161"/>
  </cols>
  <sheetData>
    <row r="1" spans="1:6" customFormat="1" ht="24.6" x14ac:dyDescent="0.3">
      <c r="A1" s="32" t="str">
        <f ca="1" xml:space="preserve"> RIGHT(CELL("filename", A1), LEN(CELL("filename", A1)) - SEARCH("]", CELL("filename", A1)))</f>
        <v>Guide</v>
      </c>
      <c r="B1" s="15"/>
      <c r="C1" s="174"/>
      <c r="E1" s="21"/>
      <c r="F1" s="4"/>
    </row>
    <row r="3" spans="1:6" x14ac:dyDescent="0.3">
      <c r="A3" s="120"/>
      <c r="B3" s="119" t="s">
        <v>0</v>
      </c>
      <c r="C3" s="214"/>
      <c r="E3" s="120"/>
      <c r="F3" s="120"/>
    </row>
    <row r="4" spans="1:6" x14ac:dyDescent="0.3">
      <c r="A4" s="118"/>
      <c r="B4" s="117"/>
      <c r="C4" s="215"/>
      <c r="D4" s="158" t="s">
        <v>1</v>
      </c>
      <c r="E4" s="121" t="s">
        <v>2</v>
      </c>
    </row>
    <row r="5" spans="1:6" x14ac:dyDescent="0.3">
      <c r="A5" s="118"/>
      <c r="B5" s="117"/>
      <c r="C5" s="215"/>
      <c r="D5" s="158"/>
      <c r="E5" s="118"/>
    </row>
    <row r="6" spans="1:6" x14ac:dyDescent="0.3">
      <c r="A6" s="118"/>
      <c r="B6" s="117"/>
      <c r="C6" s="215"/>
      <c r="D6" s="158" t="s">
        <v>3</v>
      </c>
      <c r="E6" s="162" t="s">
        <v>4</v>
      </c>
    </row>
    <row r="7" spans="1:6" x14ac:dyDescent="0.3">
      <c r="A7" s="118"/>
      <c r="B7" s="117"/>
      <c r="C7" s="215"/>
      <c r="D7" s="327" t="s">
        <v>5</v>
      </c>
      <c r="E7" s="162"/>
    </row>
    <row r="8" spans="1:6" x14ac:dyDescent="0.3">
      <c r="A8" s="118"/>
      <c r="B8" s="117"/>
      <c r="C8" s="215"/>
      <c r="D8" s="158"/>
      <c r="E8" s="162"/>
    </row>
    <row r="9" spans="1:6" x14ac:dyDescent="0.3">
      <c r="A9" s="118"/>
      <c r="B9" s="117"/>
      <c r="C9" s="215"/>
      <c r="D9" s="116" t="s">
        <v>6</v>
      </c>
      <c r="E9" s="163" t="s">
        <v>7</v>
      </c>
    </row>
    <row r="10" spans="1:6" x14ac:dyDescent="0.3">
      <c r="A10" s="118"/>
      <c r="B10" s="117"/>
      <c r="C10" s="215"/>
      <c r="D10" s="116"/>
      <c r="E10" s="118"/>
    </row>
    <row r="11" spans="1:6" x14ac:dyDescent="0.3">
      <c r="A11" s="118"/>
      <c r="B11" s="117"/>
      <c r="C11" s="215"/>
      <c r="D11" s="158" t="s">
        <v>8</v>
      </c>
      <c r="E11" s="164" t="s">
        <v>9</v>
      </c>
    </row>
    <row r="12" spans="1:6" x14ac:dyDescent="0.3">
      <c r="A12" s="118"/>
      <c r="B12" s="117"/>
      <c r="C12" s="215"/>
      <c r="D12" s="326" t="s">
        <v>10</v>
      </c>
      <c r="E12" s="164"/>
    </row>
    <row r="13" spans="1:6" x14ac:dyDescent="0.3">
      <c r="A13" s="118"/>
      <c r="B13" s="117"/>
      <c r="C13" s="215"/>
      <c r="D13" s="158"/>
      <c r="E13" s="118"/>
    </row>
    <row r="14" spans="1:6" x14ac:dyDescent="0.3">
      <c r="A14" s="118"/>
      <c r="B14" s="117"/>
      <c r="C14" s="215"/>
      <c r="D14" s="157" t="s">
        <v>11</v>
      </c>
      <c r="E14" s="122" t="s">
        <v>12</v>
      </c>
      <c r="F14" s="165"/>
    </row>
    <row r="15" spans="1:6" x14ac:dyDescent="0.3">
      <c r="A15" s="118"/>
      <c r="B15" s="117"/>
      <c r="C15" s="215"/>
      <c r="D15" s="158"/>
      <c r="E15" s="118"/>
    </row>
    <row r="16" spans="1:6" x14ac:dyDescent="0.3">
      <c r="A16" s="118"/>
      <c r="B16" s="117"/>
      <c r="C16" s="215"/>
      <c r="D16" s="158" t="s">
        <v>13</v>
      </c>
      <c r="E16" s="126" t="s">
        <v>14</v>
      </c>
    </row>
    <row r="17" spans="1:6" x14ac:dyDescent="0.3">
      <c r="A17" s="123"/>
      <c r="B17" s="125"/>
      <c r="C17" s="216"/>
      <c r="D17" s="116"/>
      <c r="E17" s="123"/>
      <c r="F17" s="160"/>
    </row>
    <row r="18" spans="1:6" x14ac:dyDescent="0.3">
      <c r="A18" s="123"/>
      <c r="B18" s="125"/>
      <c r="C18" s="216"/>
      <c r="D18" s="116" t="s">
        <v>15</v>
      </c>
      <c r="E18" s="124"/>
      <c r="F18" s="160"/>
    </row>
    <row r="19" spans="1:6" x14ac:dyDescent="0.3">
      <c r="A19" s="123"/>
      <c r="B19" s="125"/>
      <c r="C19" s="216"/>
      <c r="D19" s="116"/>
      <c r="E19" s="123"/>
      <c r="F19" s="160"/>
    </row>
    <row r="20" spans="1:6" x14ac:dyDescent="0.3">
      <c r="A20" s="123"/>
      <c r="B20" s="125" t="s">
        <v>16</v>
      </c>
      <c r="C20" s="216"/>
      <c r="D20" s="116"/>
      <c r="E20" s="123"/>
      <c r="F20" s="160"/>
    </row>
    <row r="21" spans="1:6" x14ac:dyDescent="0.3">
      <c r="A21" s="123"/>
      <c r="B21" s="125"/>
      <c r="C21" s="216" t="s">
        <v>17</v>
      </c>
      <c r="D21" s="116"/>
      <c r="E21" s="123"/>
      <c r="F21" s="160"/>
    </row>
    <row r="22" spans="1:6" x14ac:dyDescent="0.3">
      <c r="B22" s="160"/>
      <c r="C22" s="213"/>
      <c r="D22" s="157" t="s">
        <v>18</v>
      </c>
    </row>
    <row r="23" spans="1:6" x14ac:dyDescent="0.3">
      <c r="B23" s="160"/>
      <c r="C23" s="213"/>
    </row>
    <row r="24" spans="1:6" s="165" customFormat="1" x14ac:dyDescent="0.3">
      <c r="B24" s="209"/>
      <c r="C24" s="217"/>
      <c r="D24" s="158" t="s">
        <v>19</v>
      </c>
    </row>
    <row r="25" spans="1:6" s="165" customFormat="1" x14ac:dyDescent="0.3">
      <c r="B25" s="209"/>
      <c r="C25" s="217"/>
      <c r="D25" s="158"/>
    </row>
    <row r="26" spans="1:6" s="165" customFormat="1" x14ac:dyDescent="0.3">
      <c r="B26" s="209"/>
      <c r="C26" s="217"/>
      <c r="D26" s="158" t="s">
        <v>20</v>
      </c>
    </row>
    <row r="27" spans="1:6" s="165" customFormat="1" x14ac:dyDescent="0.3">
      <c r="B27" s="209"/>
      <c r="C27" s="217"/>
      <c r="D27" s="158"/>
    </row>
    <row r="28" spans="1:6" x14ac:dyDescent="0.3">
      <c r="B28" s="210"/>
      <c r="C28" s="213"/>
      <c r="D28" s="157" t="s">
        <v>21</v>
      </c>
    </row>
    <row r="29" spans="1:6" x14ac:dyDescent="0.3">
      <c r="B29" s="210"/>
      <c r="C29" s="213"/>
      <c r="D29" s="157" t="s">
        <v>22</v>
      </c>
    </row>
    <row r="30" spans="1:6" x14ac:dyDescent="0.3">
      <c r="B30" s="210"/>
      <c r="C30" s="213"/>
    </row>
    <row r="31" spans="1:6" x14ac:dyDescent="0.3">
      <c r="B31" s="210"/>
      <c r="C31" s="213"/>
    </row>
    <row r="32" spans="1:6" x14ac:dyDescent="0.3">
      <c r="B32" s="210"/>
      <c r="C32" s="213"/>
    </row>
    <row r="33" spans="2:4" x14ac:dyDescent="0.3">
      <c r="B33" s="210"/>
      <c r="C33" s="213"/>
    </row>
    <row r="34" spans="2:4" x14ac:dyDescent="0.3">
      <c r="B34" s="210"/>
      <c r="C34" s="213"/>
    </row>
    <row r="35" spans="2:4" x14ac:dyDescent="0.3">
      <c r="B35" s="210"/>
      <c r="C35" s="213"/>
    </row>
    <row r="36" spans="2:4" x14ac:dyDescent="0.3">
      <c r="B36" s="210"/>
      <c r="C36" s="213"/>
    </row>
    <row r="37" spans="2:4" x14ac:dyDescent="0.3">
      <c r="B37" s="210"/>
      <c r="C37" s="213"/>
    </row>
    <row r="38" spans="2:4" x14ac:dyDescent="0.3">
      <c r="B38" s="210"/>
      <c r="C38" s="213"/>
    </row>
    <row r="39" spans="2:4" x14ac:dyDescent="0.3">
      <c r="B39" s="210"/>
      <c r="C39" s="213"/>
    </row>
    <row r="40" spans="2:4" x14ac:dyDescent="0.3">
      <c r="B40" s="210"/>
      <c r="C40" s="213"/>
    </row>
    <row r="41" spans="2:4" x14ac:dyDescent="0.3">
      <c r="B41" s="210"/>
      <c r="C41" s="213"/>
    </row>
    <row r="42" spans="2:4" x14ac:dyDescent="0.3">
      <c r="B42" s="210"/>
      <c r="C42" s="213"/>
    </row>
    <row r="43" spans="2:4" x14ac:dyDescent="0.3">
      <c r="B43" s="210"/>
      <c r="C43" s="213"/>
    </row>
    <row r="44" spans="2:4" x14ac:dyDescent="0.3">
      <c r="B44" s="210"/>
      <c r="C44" s="213"/>
    </row>
    <row r="45" spans="2:4" x14ac:dyDescent="0.3">
      <c r="B45" s="210"/>
      <c r="C45" s="213"/>
    </row>
    <row r="46" spans="2:4" s="165" customFormat="1" x14ac:dyDescent="0.3">
      <c r="B46" s="209"/>
      <c r="C46" s="217"/>
      <c r="D46" s="158" t="s">
        <v>23</v>
      </c>
    </row>
    <row r="47" spans="2:4" s="165" customFormat="1" x14ac:dyDescent="0.3">
      <c r="B47" s="166"/>
      <c r="C47" s="218"/>
      <c r="D47" s="158"/>
    </row>
    <row r="48" spans="2:4" s="165" customFormat="1" x14ac:dyDescent="0.3">
      <c r="B48" s="166"/>
      <c r="C48" s="218" t="s">
        <v>24</v>
      </c>
      <c r="D48" s="158"/>
    </row>
    <row r="49" spans="1:4" s="165" customFormat="1" x14ac:dyDescent="0.3">
      <c r="B49" s="166"/>
      <c r="C49" s="218"/>
      <c r="D49" s="158" t="s">
        <v>25</v>
      </c>
    </row>
    <row r="50" spans="1:4" s="165" customFormat="1" x14ac:dyDescent="0.3">
      <c r="B50" s="166"/>
      <c r="C50" s="218"/>
      <c r="D50" s="158" t="s">
        <v>26</v>
      </c>
    </row>
    <row r="51" spans="1:4" s="165" customFormat="1" x14ac:dyDescent="0.3">
      <c r="B51" s="166"/>
      <c r="C51" s="218"/>
      <c r="D51" s="158"/>
    </row>
    <row r="52" spans="1:4" x14ac:dyDescent="0.3">
      <c r="A52" s="167" t="s">
        <v>27</v>
      </c>
    </row>
  </sheetData>
  <pageMargins left="0.70866141732283472" right="0.70866141732283472" top="0.74803149606299213" bottom="0.74803149606299213" header="0.31496062992125984" footer="0.31496062992125984"/>
  <pageSetup paperSize="9" scale="96"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74D5A-6510-432C-99CB-63EF8D8C9DC9}">
  <sheetPr>
    <outlinePr summaryBelow="0" summaryRight="0"/>
  </sheetPr>
  <dimension ref="A1:O116"/>
  <sheetViews>
    <sheetView tabSelected="1" defaultGridColor="0" colorId="22" zoomScale="80" zoomScaleNormal="80" workbookViewId="0">
      <pane ySplit="2" topLeftCell="A3" activePane="bottomLeft" state="frozen"/>
      <selection activeCell="F40" sqref="F40"/>
      <selection pane="bottomLeft" activeCell="E13" sqref="E13"/>
    </sheetView>
  </sheetViews>
  <sheetFormatPr defaultColWidth="11.5546875" defaultRowHeight="14.4" x14ac:dyDescent="0.3"/>
  <cols>
    <col min="1" max="2" width="1.5546875" style="1" customWidth="1"/>
    <col min="3" max="3" width="1.5546875" style="175" customWidth="1"/>
    <col min="4" max="4" width="50.88671875" customWidth="1"/>
    <col min="5" max="5" width="4.5546875" style="317" customWidth="1"/>
    <col min="6" max="6" width="12.88671875" customWidth="1"/>
    <col min="7" max="7" width="18.44140625" customWidth="1"/>
    <col min="8" max="8" width="1.5546875" style="270" customWidth="1"/>
    <col min="9" max="14" width="12.88671875" customWidth="1"/>
    <col min="15" max="15" width="1.5546875" style="270" customWidth="1"/>
  </cols>
  <sheetData>
    <row r="1" spans="1:15" ht="24.6" x14ac:dyDescent="0.3">
      <c r="A1" s="32" t="str">
        <f ca="1" xml:space="preserve"> RIGHT(CELL("filename", A1), LEN(CELL("filename", A1)) - SEARCH("]", CELL("filename", A1)))</f>
        <v>Key inputs &amp; outputs</v>
      </c>
      <c r="F1" s="289" t="str">
        <f xml:space="preserve"> "Active case: " &amp; 'Key inputs &amp; outputs'!$F$8</f>
        <v>Active case: Base case</v>
      </c>
      <c r="G1" s="220"/>
      <c r="I1" s="220"/>
      <c r="J1" s="220"/>
      <c r="K1" s="220"/>
      <c r="L1" s="220"/>
      <c r="M1" s="220"/>
      <c r="N1" s="220"/>
    </row>
    <row r="2" spans="1:15" s="53" customFormat="1" x14ac:dyDescent="0.3">
      <c r="C2" s="182"/>
      <c r="D2" s="53" t="s">
        <v>28</v>
      </c>
      <c r="E2" s="28" t="s">
        <v>29</v>
      </c>
      <c r="F2" s="63" t="s">
        <v>30</v>
      </c>
      <c r="G2" s="53" t="s">
        <v>31</v>
      </c>
      <c r="H2" s="271"/>
      <c r="I2" s="284" t="s">
        <v>32</v>
      </c>
      <c r="J2" s="284" t="s">
        <v>33</v>
      </c>
      <c r="K2" s="284" t="s">
        <v>34</v>
      </c>
      <c r="L2" s="284" t="s">
        <v>35</v>
      </c>
      <c r="M2" s="284" t="s">
        <v>36</v>
      </c>
      <c r="N2" s="284" t="s">
        <v>37</v>
      </c>
      <c r="O2" s="271"/>
    </row>
    <row r="3" spans="1:15" s="53" customFormat="1" x14ac:dyDescent="0.3">
      <c r="C3" s="182"/>
      <c r="E3" s="29"/>
      <c r="F3" s="63"/>
      <c r="H3" s="271"/>
      <c r="I3" s="63"/>
      <c r="J3" s="63"/>
      <c r="K3" s="63"/>
      <c r="L3" s="63"/>
      <c r="M3" s="63"/>
      <c r="N3" s="63"/>
      <c r="O3" s="271"/>
    </row>
    <row r="4" spans="1:15" s="53" customFormat="1" x14ac:dyDescent="0.3">
      <c r="A4" s="53" t="s">
        <v>38</v>
      </c>
      <c r="C4" s="182"/>
      <c r="E4" s="29"/>
      <c r="F4" s="63"/>
      <c r="H4" s="271"/>
      <c r="I4" s="63"/>
      <c r="J4" s="63"/>
      <c r="K4" s="63"/>
      <c r="L4" s="63"/>
      <c r="M4" s="63"/>
      <c r="N4" s="63"/>
      <c r="O4" s="271"/>
    </row>
    <row r="5" spans="1:15" s="53" customFormat="1" x14ac:dyDescent="0.3">
      <c r="C5" s="182"/>
      <c r="D5" s="290" t="s">
        <v>39</v>
      </c>
      <c r="E5" s="320"/>
      <c r="H5" s="271"/>
      <c r="I5" s="63"/>
      <c r="J5" s="63"/>
      <c r="K5" s="63"/>
      <c r="L5" s="63"/>
      <c r="M5" s="63"/>
      <c r="N5" s="63"/>
      <c r="O5" s="271"/>
    </row>
    <row r="6" spans="1:15" s="29" customFormat="1" x14ac:dyDescent="0.3">
      <c r="C6" s="181"/>
      <c r="D6" s="288" t="s">
        <v>32</v>
      </c>
      <c r="F6" s="29">
        <f xml:space="preserve"> _xlfn.XMATCH(D6, Case_list) - 1</f>
        <v>1</v>
      </c>
      <c r="G6" s="29" t="s">
        <v>40</v>
      </c>
      <c r="H6" s="287"/>
      <c r="O6" s="287"/>
    </row>
    <row r="7" spans="1:15" s="53" customFormat="1" x14ac:dyDescent="0.3">
      <c r="C7" s="182"/>
      <c r="E7" s="29"/>
      <c r="F7" s="63"/>
      <c r="H7" s="271"/>
      <c r="I7" s="63"/>
      <c r="J7" s="63"/>
      <c r="K7" s="63"/>
      <c r="L7" s="63"/>
      <c r="M7" s="63"/>
      <c r="N7" s="63"/>
      <c r="O7" s="271"/>
    </row>
    <row r="8" spans="1:15" s="25" customFormat="1" ht="72" x14ac:dyDescent="0.3">
      <c r="C8" s="182"/>
      <c r="D8" s="302" t="s">
        <v>41</v>
      </c>
      <c r="E8" s="29"/>
      <c r="F8" s="334" t="str" cm="1">
        <f t="array" ref="F8" xml:space="preserve"> INDEX(H8:O8, F$6 + 1)</f>
        <v>Base case</v>
      </c>
      <c r="G8" s="25" t="s">
        <v>42</v>
      </c>
      <c r="H8" s="303"/>
      <c r="I8" s="335" t="s">
        <v>43</v>
      </c>
      <c r="J8" s="335" t="s">
        <v>44</v>
      </c>
      <c r="K8" s="335" t="s">
        <v>45</v>
      </c>
      <c r="L8" s="335" t="s">
        <v>46</v>
      </c>
      <c r="M8" s="335"/>
      <c r="N8" s="335"/>
      <c r="O8" s="303"/>
    </row>
    <row r="9" spans="1:15" s="53" customFormat="1" x14ac:dyDescent="0.3">
      <c r="C9" s="182"/>
      <c r="E9" s="29"/>
      <c r="F9" s="63"/>
      <c r="H9" s="271"/>
      <c r="I9" s="63"/>
      <c r="J9" s="63"/>
      <c r="K9" s="63"/>
      <c r="L9" s="63"/>
      <c r="M9" s="63"/>
      <c r="N9" s="63"/>
      <c r="O9" s="271"/>
    </row>
    <row r="10" spans="1:15" x14ac:dyDescent="0.3">
      <c r="B10" s="1" t="s">
        <v>47</v>
      </c>
      <c r="F10" s="221"/>
      <c r="G10" s="221"/>
      <c r="I10" s="221"/>
      <c r="J10" s="221"/>
      <c r="K10" s="221"/>
      <c r="L10" s="221"/>
      <c r="M10" s="221"/>
      <c r="N10" s="221"/>
    </row>
    <row r="11" spans="1:15" s="71" customFormat="1" x14ac:dyDescent="0.3">
      <c r="A11" s="112"/>
      <c r="B11" s="112"/>
      <c r="C11" s="176"/>
      <c r="D11" s="128" t="s">
        <v>48</v>
      </c>
      <c r="E11" s="29"/>
      <c r="F11" s="285" cm="1">
        <f t="array" ref="F11" xml:space="preserve"> INDEX(H11:O11, F$6 + 1)</f>
        <v>30</v>
      </c>
      <c r="G11" s="71" t="s">
        <v>49</v>
      </c>
      <c r="H11" s="272"/>
      <c r="I11" s="129">
        <v>30</v>
      </c>
      <c r="J11" s="129">
        <v>30</v>
      </c>
      <c r="K11" s="129">
        <v>30</v>
      </c>
      <c r="L11" s="129">
        <v>30</v>
      </c>
      <c r="M11" s="129"/>
      <c r="N11" s="129"/>
      <c r="O11" s="272"/>
    </row>
    <row r="12" spans="1:15" s="16" customFormat="1" x14ac:dyDescent="0.3">
      <c r="A12" s="66"/>
      <c r="B12" s="66"/>
      <c r="C12" s="178"/>
      <c r="D12" s="26" t="s">
        <v>50</v>
      </c>
      <c r="E12" s="29"/>
      <c r="F12" s="29" cm="1">
        <f t="array" ref="F12" xml:space="preserve"> INDEX(H12:O12, F$6 + 1)</f>
        <v>50</v>
      </c>
      <c r="G12" s="16" t="s">
        <v>51</v>
      </c>
      <c r="H12" s="273"/>
      <c r="I12" s="130">
        <v>50</v>
      </c>
      <c r="J12" s="130">
        <v>50</v>
      </c>
      <c r="K12" s="130">
        <v>50</v>
      </c>
      <c r="L12" s="130">
        <v>50</v>
      </c>
      <c r="M12" s="130"/>
      <c r="N12" s="130"/>
      <c r="O12" s="273"/>
    </row>
    <row r="13" spans="1:15" s="71" customFormat="1" x14ac:dyDescent="0.3">
      <c r="A13" s="112"/>
      <c r="B13" s="112"/>
      <c r="C13" s="176"/>
      <c r="D13" s="47" t="s">
        <v>52</v>
      </c>
      <c r="E13" s="29"/>
      <c r="F13" s="246" cm="1">
        <f t="array" ref="F13" xml:space="preserve"> INDEX(H13:O13, F$6 + 1)</f>
        <v>0.5</v>
      </c>
      <c r="G13" s="48" t="s">
        <v>53</v>
      </c>
      <c r="H13" s="272"/>
      <c r="I13" s="14">
        <v>0.5</v>
      </c>
      <c r="J13" s="14">
        <v>0.5</v>
      </c>
      <c r="K13" s="14">
        <v>0.5</v>
      </c>
      <c r="L13" s="14">
        <v>0.5</v>
      </c>
      <c r="M13" s="14"/>
      <c r="N13" s="14"/>
      <c r="O13" s="272"/>
    </row>
    <row r="14" spans="1:15" s="300" customFormat="1" x14ac:dyDescent="0.3">
      <c r="A14" s="297"/>
      <c r="B14" s="297"/>
      <c r="C14" s="298"/>
      <c r="D14" s="87" t="s">
        <v>54</v>
      </c>
      <c r="E14" s="29"/>
      <c r="F14" s="73">
        <f>F12*F13</f>
        <v>25</v>
      </c>
      <c r="G14" s="73" t="s">
        <v>55</v>
      </c>
      <c r="H14" s="299"/>
      <c r="I14" s="285"/>
      <c r="J14" s="285"/>
      <c r="K14" s="285"/>
      <c r="L14" s="285"/>
      <c r="M14" s="285"/>
      <c r="N14" s="285"/>
      <c r="O14" s="299"/>
    </row>
    <row r="15" spans="1:15" s="71" customFormat="1" x14ac:dyDescent="0.3">
      <c r="A15" s="112"/>
      <c r="B15" s="112"/>
      <c r="C15" s="176"/>
      <c r="D15" s="128"/>
      <c r="E15" s="29"/>
      <c r="F15" s="285"/>
      <c r="H15" s="272"/>
      <c r="I15" s="285"/>
      <c r="J15" s="285"/>
      <c r="K15" s="285"/>
      <c r="L15" s="285"/>
      <c r="M15" s="285"/>
      <c r="N15" s="285"/>
      <c r="O15" s="272"/>
    </row>
    <row r="16" spans="1:15" s="16" customFormat="1" x14ac:dyDescent="0.3">
      <c r="A16" s="66"/>
      <c r="B16" s="66"/>
      <c r="C16" s="178"/>
      <c r="D16" s="26" t="s">
        <v>56</v>
      </c>
      <c r="E16" s="29"/>
      <c r="F16" s="29" cm="1">
        <f t="array" ref="F16" xml:space="preserve"> INDEX(H16:O16, F$6 + 1)</f>
        <v>5</v>
      </c>
      <c r="G16" s="16" t="s">
        <v>55</v>
      </c>
      <c r="H16" s="273"/>
      <c r="I16" s="130">
        <v>5</v>
      </c>
      <c r="J16" s="130">
        <v>5</v>
      </c>
      <c r="K16" s="130">
        <v>5</v>
      </c>
      <c r="L16" s="130">
        <v>5</v>
      </c>
      <c r="M16" s="130"/>
      <c r="N16" s="130"/>
      <c r="O16" s="273"/>
    </row>
    <row r="17" spans="1:15" s="71" customFormat="1" x14ac:dyDescent="0.3">
      <c r="A17" s="112"/>
      <c r="B17" s="112"/>
      <c r="C17" s="176"/>
      <c r="D17" s="128" t="s">
        <v>57</v>
      </c>
      <c r="E17" s="29"/>
      <c r="F17" s="285" cm="1">
        <f t="array" ref="F17" xml:space="preserve"> INDEX(H17:O17, F$6 + 1)</f>
        <v>50</v>
      </c>
      <c r="G17" s="71" t="s">
        <v>58</v>
      </c>
      <c r="H17" s="272"/>
      <c r="I17" s="129">
        <v>50</v>
      </c>
      <c r="J17" s="129">
        <v>50</v>
      </c>
      <c r="K17" s="129">
        <v>50</v>
      </c>
      <c r="L17" s="129">
        <v>50</v>
      </c>
      <c r="M17" s="129"/>
      <c r="N17" s="129"/>
      <c r="O17" s="272"/>
    </row>
    <row r="18" spans="1:15" s="71" customFormat="1" x14ac:dyDescent="0.3">
      <c r="A18" s="112"/>
      <c r="B18" s="112"/>
      <c r="C18" s="176"/>
      <c r="D18" s="128"/>
      <c r="E18" s="29"/>
      <c r="F18" s="285"/>
      <c r="H18" s="272"/>
      <c r="I18" s="285"/>
      <c r="J18" s="285"/>
      <c r="K18" s="285"/>
      <c r="L18" s="285"/>
      <c r="M18" s="285"/>
      <c r="N18" s="285"/>
      <c r="O18" s="272"/>
    </row>
    <row r="19" spans="1:15" s="48" customFormat="1" x14ac:dyDescent="0.3">
      <c r="A19" s="49"/>
      <c r="B19" s="49"/>
      <c r="C19" s="177"/>
      <c r="D19" s="47" t="s">
        <v>59</v>
      </c>
      <c r="E19" s="29"/>
      <c r="F19" s="25" cm="1">
        <f t="array" ref="F19" xml:space="preserve"> INDEX(H19:O19, F$6 + 1)</f>
        <v>40</v>
      </c>
      <c r="G19" s="48" t="s">
        <v>60</v>
      </c>
      <c r="H19" s="274"/>
      <c r="I19" s="14">
        <v>40</v>
      </c>
      <c r="J19" s="14">
        <v>40</v>
      </c>
      <c r="K19" s="14">
        <v>40</v>
      </c>
      <c r="L19" s="14">
        <v>40</v>
      </c>
      <c r="M19" s="14"/>
      <c r="N19" s="14"/>
      <c r="O19" s="274"/>
    </row>
    <row r="20" spans="1:15" s="71" customFormat="1" x14ac:dyDescent="0.3">
      <c r="A20" s="112"/>
      <c r="B20" s="112"/>
      <c r="C20" s="176"/>
      <c r="D20" s="128"/>
      <c r="E20" s="29"/>
      <c r="F20" s="285"/>
      <c r="H20" s="272"/>
      <c r="I20" s="285"/>
      <c r="J20" s="285"/>
      <c r="K20" s="285"/>
      <c r="L20" s="285"/>
      <c r="M20" s="285"/>
      <c r="N20" s="285"/>
      <c r="O20" s="272"/>
    </row>
    <row r="21" spans="1:15" s="47" customFormat="1" x14ac:dyDescent="0.3">
      <c r="A21" s="46"/>
      <c r="B21" s="46"/>
      <c r="C21" s="188"/>
      <c r="D21" s="10" t="s">
        <v>61</v>
      </c>
      <c r="E21" s="29"/>
      <c r="F21" s="261" t="str" cm="1">
        <f t="array" ref="F21" xml:space="preserve"> INDEX(H21:O21, F$6 + 1)</f>
        <v>Apples</v>
      </c>
      <c r="G21" s="9" t="s">
        <v>62</v>
      </c>
      <c r="H21" s="274"/>
      <c r="I21" s="296" t="s">
        <v>63</v>
      </c>
      <c r="J21" s="296" t="s">
        <v>63</v>
      </c>
      <c r="K21" s="296" t="s">
        <v>63</v>
      </c>
      <c r="L21" s="296" t="s">
        <v>64</v>
      </c>
      <c r="M21" s="296"/>
      <c r="N21" s="296"/>
      <c r="O21" s="274"/>
    </row>
    <row r="22" spans="1:15" s="47" customFormat="1" x14ac:dyDescent="0.3">
      <c r="A22" s="46"/>
      <c r="B22" s="46"/>
      <c r="C22" s="188"/>
      <c r="D22" s="10" t="s">
        <v>65</v>
      </c>
      <c r="E22" s="29"/>
      <c r="F22" s="9">
        <f xml:space="preserve"> _xlfn.XMATCH(F21, Crop_and_fruit_list) - 1</f>
        <v>1</v>
      </c>
      <c r="G22" s="9" t="s">
        <v>66</v>
      </c>
      <c r="H22" s="274"/>
      <c r="I22" s="159"/>
      <c r="J22" s="159"/>
      <c r="K22" s="159"/>
      <c r="L22" s="159"/>
      <c r="M22" s="159"/>
      <c r="N22" s="159"/>
      <c r="O22" s="274"/>
    </row>
    <row r="23" spans="1:15" s="25" customFormat="1" x14ac:dyDescent="0.3">
      <c r="A23" s="53"/>
      <c r="B23" s="53"/>
      <c r="C23" s="182"/>
      <c r="D23" s="60" t="s">
        <v>67</v>
      </c>
      <c r="E23" s="29"/>
      <c r="F23" s="245" cm="1">
        <f t="array" ref="F23" xml:space="preserve"> INDEX(H23:O23, F$6 + 1)</f>
        <v>0.02</v>
      </c>
      <c r="G23" s="56" t="s">
        <v>68</v>
      </c>
      <c r="H23" s="275"/>
      <c r="I23" s="11">
        <v>0.02</v>
      </c>
      <c r="J23" s="11">
        <v>0.02</v>
      </c>
      <c r="K23" s="11">
        <v>0.02</v>
      </c>
      <c r="L23" s="11">
        <v>0.02</v>
      </c>
      <c r="M23" s="11"/>
      <c r="N23" s="11"/>
      <c r="O23" s="275"/>
    </row>
    <row r="24" spans="1:15" s="47" customFormat="1" x14ac:dyDescent="0.3">
      <c r="A24" s="46"/>
      <c r="B24" s="46"/>
      <c r="C24" s="188"/>
      <c r="D24" s="10"/>
      <c r="E24" s="29"/>
      <c r="F24" s="261"/>
      <c r="G24" s="9"/>
      <c r="H24" s="274"/>
      <c r="I24" s="159"/>
      <c r="J24" s="159"/>
      <c r="K24" s="159"/>
      <c r="L24" s="159"/>
      <c r="M24" s="159"/>
      <c r="N24" s="159"/>
      <c r="O24" s="274"/>
    </row>
    <row r="25" spans="1:15" s="48" customFormat="1" x14ac:dyDescent="0.3">
      <c r="A25" s="49"/>
      <c r="B25" s="49"/>
      <c r="C25" s="177"/>
      <c r="D25" s="47" t="s">
        <v>69</v>
      </c>
      <c r="E25" s="29"/>
      <c r="F25" s="25" cm="1">
        <f t="array" ref="F25" xml:space="preserve"> INDEX(H25:O25, F$6 + 1)</f>
        <v>50</v>
      </c>
      <c r="G25" s="48" t="s">
        <v>70</v>
      </c>
      <c r="H25" s="274"/>
      <c r="I25" s="14">
        <v>50</v>
      </c>
      <c r="J25" s="14">
        <v>50</v>
      </c>
      <c r="K25" s="14">
        <v>50</v>
      </c>
      <c r="L25" s="14">
        <v>50</v>
      </c>
      <c r="M25" s="14"/>
      <c r="N25" s="14"/>
      <c r="O25" s="274"/>
    </row>
    <row r="26" spans="1:15" s="47" customFormat="1" x14ac:dyDescent="0.3">
      <c r="A26" s="46"/>
      <c r="B26" s="46"/>
      <c r="C26" s="188"/>
      <c r="E26" s="29"/>
      <c r="F26" s="25"/>
      <c r="H26" s="274"/>
      <c r="I26" s="25"/>
      <c r="J26" s="25"/>
      <c r="K26" s="25"/>
      <c r="L26" s="25"/>
      <c r="M26" s="25"/>
      <c r="N26" s="25"/>
      <c r="O26" s="274"/>
    </row>
    <row r="27" spans="1:15" s="47" customFormat="1" x14ac:dyDescent="0.3">
      <c r="A27" s="46"/>
      <c r="B27" s="46"/>
      <c r="C27" s="188"/>
      <c r="D27" s="10" t="s">
        <v>71</v>
      </c>
      <c r="E27" s="29"/>
      <c r="F27" s="261" t="str" cm="1">
        <f t="array" ref="F27" xml:space="preserve"> INDEX(H27:O27, F$6 + 1)</f>
        <v>Meat, cattle</v>
      </c>
      <c r="G27" s="9" t="s">
        <v>62</v>
      </c>
      <c r="H27" s="274"/>
      <c r="I27" s="296" t="s">
        <v>72</v>
      </c>
      <c r="J27" s="296" t="s">
        <v>72</v>
      </c>
      <c r="K27" s="296" t="s">
        <v>72</v>
      </c>
      <c r="L27" s="296" t="s">
        <v>73</v>
      </c>
      <c r="M27" s="296"/>
      <c r="N27" s="296"/>
      <c r="O27" s="274"/>
    </row>
    <row r="28" spans="1:15" s="47" customFormat="1" x14ac:dyDescent="0.3">
      <c r="A28" s="46"/>
      <c r="B28" s="46"/>
      <c r="C28" s="188"/>
      <c r="D28" s="10" t="s">
        <v>74</v>
      </c>
      <c r="E28" s="29"/>
      <c r="F28" s="9">
        <f xml:space="preserve"> _xlfn.XMATCH(F27, Livestock_list) - 1</f>
        <v>1</v>
      </c>
      <c r="G28" s="9" t="s">
        <v>66</v>
      </c>
      <c r="H28" s="274"/>
      <c r="I28" s="25"/>
      <c r="J28" s="25"/>
      <c r="K28" s="25"/>
      <c r="L28" s="25"/>
      <c r="M28" s="25"/>
      <c r="N28" s="25"/>
      <c r="O28" s="274"/>
    </row>
    <row r="29" spans="1:15" s="47" customFormat="1" x14ac:dyDescent="0.3">
      <c r="A29" s="46"/>
      <c r="B29" s="46"/>
      <c r="C29" s="188"/>
      <c r="D29" s="60" t="s">
        <v>75</v>
      </c>
      <c r="E29" s="29"/>
      <c r="F29" s="245" cm="1">
        <f t="array" ref="F29" xml:space="preserve"> INDEX(H29:O29, F$6 + 1)</f>
        <v>0.02</v>
      </c>
      <c r="G29" s="56" t="s">
        <v>68</v>
      </c>
      <c r="H29" s="274"/>
      <c r="I29" s="11">
        <v>0.02</v>
      </c>
      <c r="J29" s="11">
        <v>0.02</v>
      </c>
      <c r="K29" s="11">
        <v>0.02</v>
      </c>
      <c r="L29" s="11">
        <v>0.02</v>
      </c>
      <c r="M29" s="11"/>
      <c r="N29" s="11"/>
      <c r="O29" s="274"/>
    </row>
    <row r="30" spans="1:15" s="48" customFormat="1" x14ac:dyDescent="0.3">
      <c r="A30" s="49"/>
      <c r="B30" s="49"/>
      <c r="C30" s="177"/>
      <c r="D30" s="47" t="s">
        <v>76</v>
      </c>
      <c r="E30" s="29"/>
      <c r="F30" s="25" cm="1">
        <f t="array" ref="F30" xml:space="preserve"> INDEX(H30:O30, F$6 + 1)</f>
        <v>20</v>
      </c>
      <c r="G30" s="16" t="s">
        <v>55</v>
      </c>
      <c r="H30" s="274"/>
      <c r="I30" s="14">
        <v>20</v>
      </c>
      <c r="J30" s="14">
        <v>20</v>
      </c>
      <c r="K30" s="14">
        <v>20</v>
      </c>
      <c r="L30" s="14">
        <v>20</v>
      </c>
      <c r="M30" s="14"/>
      <c r="N30" s="14"/>
      <c r="O30" s="274"/>
    </row>
    <row r="31" spans="1:15" s="47" customFormat="1" x14ac:dyDescent="0.3">
      <c r="A31" s="46"/>
      <c r="B31" s="46"/>
      <c r="C31" s="188"/>
      <c r="E31" s="29"/>
      <c r="F31" s="25"/>
      <c r="H31" s="274"/>
      <c r="I31" s="25"/>
      <c r="J31" s="25"/>
      <c r="K31" s="25"/>
      <c r="L31" s="25"/>
      <c r="M31" s="25"/>
      <c r="N31" s="25"/>
      <c r="O31" s="274"/>
    </row>
    <row r="32" spans="1:15" s="47" customFormat="1" x14ac:dyDescent="0.3">
      <c r="A32" s="46"/>
      <c r="B32" s="46" t="s">
        <v>77</v>
      </c>
      <c r="C32" s="188"/>
      <c r="E32" s="29"/>
      <c r="F32" s="25"/>
      <c r="H32" s="274"/>
      <c r="I32" s="25"/>
      <c r="J32" s="25"/>
      <c r="K32" s="25"/>
      <c r="L32" s="25"/>
      <c r="M32" s="25"/>
      <c r="N32" s="25"/>
      <c r="O32" s="274"/>
    </row>
    <row r="33" spans="1:15" s="151" customFormat="1" x14ac:dyDescent="0.3">
      <c r="B33" s="150"/>
      <c r="C33" s="186"/>
      <c r="D33" s="256" t="s">
        <v>78</v>
      </c>
      <c r="E33" s="29"/>
      <c r="F33" s="286" cm="1">
        <f t="array" ref="F33" xml:space="preserve"> INDEX(H33:O33, F$6 + 1)</f>
        <v>1</v>
      </c>
      <c r="G33" s="151" t="s">
        <v>79</v>
      </c>
      <c r="H33" s="276"/>
      <c r="I33" s="257">
        <v>1</v>
      </c>
      <c r="J33" s="257">
        <v>0.9</v>
      </c>
      <c r="K33" s="257">
        <v>1.1000000000000001</v>
      </c>
      <c r="L33" s="257">
        <v>1</v>
      </c>
      <c r="M33" s="257"/>
      <c r="N33" s="257"/>
      <c r="O33" s="276"/>
    </row>
    <row r="34" spans="1:15" s="151" customFormat="1" x14ac:dyDescent="0.3">
      <c r="B34" s="150"/>
      <c r="C34" s="186"/>
      <c r="D34" s="256" t="s">
        <v>80</v>
      </c>
      <c r="E34" s="29"/>
      <c r="F34" s="286" cm="1">
        <f t="array" ref="F34" xml:space="preserve"> INDEX(H34:O34, F$6 + 1)</f>
        <v>1</v>
      </c>
      <c r="G34" s="151" t="s">
        <v>79</v>
      </c>
      <c r="H34" s="276"/>
      <c r="I34" s="257">
        <v>1</v>
      </c>
      <c r="J34" s="257">
        <v>0.9</v>
      </c>
      <c r="K34" s="257">
        <v>1.1000000000000001</v>
      </c>
      <c r="L34" s="257">
        <v>1</v>
      </c>
      <c r="M34" s="257"/>
      <c r="N34" s="257"/>
      <c r="O34" s="276"/>
    </row>
    <row r="35" spans="1:15" s="151" customFormat="1" x14ac:dyDescent="0.3">
      <c r="B35" s="150"/>
      <c r="C35" s="186"/>
      <c r="D35" s="256" t="s">
        <v>81</v>
      </c>
      <c r="E35" s="29"/>
      <c r="F35" s="286" cm="1">
        <f t="array" ref="F35" xml:space="preserve"> INDEX(H35:O35, F$6 + 1)</f>
        <v>1</v>
      </c>
      <c r="G35" s="151" t="s">
        <v>79</v>
      </c>
      <c r="H35" s="276"/>
      <c r="I35" s="257">
        <v>1</v>
      </c>
      <c r="J35" s="257">
        <v>0.9</v>
      </c>
      <c r="K35" s="257">
        <v>1.1000000000000001</v>
      </c>
      <c r="L35" s="257">
        <v>1</v>
      </c>
      <c r="M35" s="257"/>
      <c r="N35" s="257"/>
      <c r="O35" s="276"/>
    </row>
    <row r="36" spans="1:15" s="151" customFormat="1" x14ac:dyDescent="0.3">
      <c r="B36" s="150"/>
      <c r="C36" s="186"/>
      <c r="D36" s="256" t="s">
        <v>82</v>
      </c>
      <c r="E36" s="29"/>
      <c r="F36" s="286" cm="1">
        <f t="array" ref="F36" xml:space="preserve"> INDEX(H36:O36, F$6 + 1)</f>
        <v>1</v>
      </c>
      <c r="G36" s="151" t="s">
        <v>79</v>
      </c>
      <c r="H36" s="276"/>
      <c r="I36" s="257">
        <v>1</v>
      </c>
      <c r="J36" s="257">
        <v>0.9</v>
      </c>
      <c r="K36" s="257">
        <v>1.1000000000000001</v>
      </c>
      <c r="L36" s="257">
        <v>1</v>
      </c>
      <c r="M36" s="257"/>
      <c r="N36" s="257"/>
      <c r="O36" s="276"/>
    </row>
    <row r="37" spans="1:15" s="151" customFormat="1" x14ac:dyDescent="0.3">
      <c r="B37" s="150"/>
      <c r="C37" s="186"/>
      <c r="D37" s="256" t="s">
        <v>83</v>
      </c>
      <c r="E37" s="29"/>
      <c r="F37" s="286" cm="1">
        <f t="array" ref="F37" xml:space="preserve"> INDEX(H37:O37, F$6 + 1)</f>
        <v>1</v>
      </c>
      <c r="G37" s="151" t="s">
        <v>79</v>
      </c>
      <c r="H37" s="276"/>
      <c r="I37" s="257">
        <v>1</v>
      </c>
      <c r="J37" s="257">
        <v>0.9</v>
      </c>
      <c r="K37" s="257">
        <v>1.1000000000000001</v>
      </c>
      <c r="L37" s="257">
        <v>1</v>
      </c>
      <c r="M37" s="257"/>
      <c r="N37" s="257"/>
      <c r="O37" s="276"/>
    </row>
    <row r="38" spans="1:15" s="151" customFormat="1" x14ac:dyDescent="0.3">
      <c r="B38" s="150"/>
      <c r="C38" s="186"/>
      <c r="D38" s="256" t="s">
        <v>84</v>
      </c>
      <c r="E38" s="29"/>
      <c r="F38" s="286" cm="1">
        <f t="array" ref="F38" xml:space="preserve"> INDEX(H38:O38, F$6 + 1)</f>
        <v>1</v>
      </c>
      <c r="G38" s="151" t="s">
        <v>79</v>
      </c>
      <c r="H38" s="276"/>
      <c r="I38" s="257">
        <v>1</v>
      </c>
      <c r="J38" s="257">
        <v>0.9</v>
      </c>
      <c r="K38" s="257">
        <v>1.1000000000000001</v>
      </c>
      <c r="L38" s="257">
        <v>1</v>
      </c>
      <c r="M38" s="257"/>
      <c r="N38" s="257"/>
      <c r="O38" s="276"/>
    </row>
    <row r="39" spans="1:15" s="151" customFormat="1" x14ac:dyDescent="0.3">
      <c r="B39" s="150"/>
      <c r="C39" s="186"/>
      <c r="D39" s="256" t="s">
        <v>85</v>
      </c>
      <c r="E39" s="29"/>
      <c r="F39" s="286" cm="1">
        <f t="array" ref="F39" xml:space="preserve"> INDEX(H39:O39, F$6 + 1)</f>
        <v>1</v>
      </c>
      <c r="G39" s="151" t="s">
        <v>79</v>
      </c>
      <c r="H39" s="276"/>
      <c r="I39" s="257">
        <v>1</v>
      </c>
      <c r="J39" s="257">
        <v>0.9</v>
      </c>
      <c r="K39" s="257">
        <v>1.1000000000000001</v>
      </c>
      <c r="L39" s="257">
        <v>1</v>
      </c>
      <c r="M39" s="257"/>
      <c r="N39" s="257"/>
      <c r="O39" s="276"/>
    </row>
    <row r="40" spans="1:15" s="151" customFormat="1" x14ac:dyDescent="0.3">
      <c r="B40" s="150"/>
      <c r="C40" s="186"/>
      <c r="D40" s="256" t="s">
        <v>86</v>
      </c>
      <c r="E40" s="29"/>
      <c r="F40" s="286" cm="1">
        <f t="array" ref="F40" xml:space="preserve"> INDEX(H40:O40, F$6 + 1)</f>
        <v>1</v>
      </c>
      <c r="G40" s="151" t="s">
        <v>79</v>
      </c>
      <c r="H40" s="276"/>
      <c r="I40" s="257">
        <v>1</v>
      </c>
      <c r="J40" s="257">
        <v>0.9</v>
      </c>
      <c r="K40" s="257">
        <v>1.1000000000000001</v>
      </c>
      <c r="L40" s="257">
        <v>1</v>
      </c>
      <c r="M40" s="257"/>
      <c r="N40" s="257"/>
      <c r="O40" s="276"/>
    </row>
    <row r="41" spans="1:15" s="151" customFormat="1" x14ac:dyDescent="0.3">
      <c r="B41" s="150"/>
      <c r="C41" s="186"/>
      <c r="D41" s="256" t="s">
        <v>87</v>
      </c>
      <c r="E41" s="29"/>
      <c r="F41" s="286" cm="1">
        <f t="array" ref="F41" xml:space="preserve"> INDEX(H41:O41, F$6 + 1)</f>
        <v>1</v>
      </c>
      <c r="G41" s="151" t="s">
        <v>79</v>
      </c>
      <c r="H41" s="276"/>
      <c r="I41" s="257">
        <v>1</v>
      </c>
      <c r="J41" s="257">
        <v>0.9</v>
      </c>
      <c r="K41" s="257">
        <v>1.1000000000000001</v>
      </c>
      <c r="L41" s="257">
        <v>1</v>
      </c>
      <c r="M41" s="257"/>
      <c r="N41" s="257"/>
      <c r="O41" s="276"/>
    </row>
    <row r="42" spans="1:15" s="151" customFormat="1" x14ac:dyDescent="0.3">
      <c r="B42" s="150"/>
      <c r="C42" s="186"/>
      <c r="D42" s="256" t="s">
        <v>88</v>
      </c>
      <c r="E42" s="29"/>
      <c r="F42" s="286" cm="1">
        <f t="array" ref="F42" xml:space="preserve"> INDEX(H42:O42, F$6 + 1)</f>
        <v>1</v>
      </c>
      <c r="G42" s="151" t="s">
        <v>79</v>
      </c>
      <c r="H42" s="276"/>
      <c r="I42" s="257">
        <v>1</v>
      </c>
      <c r="J42" s="257">
        <v>0.9</v>
      </c>
      <c r="K42" s="257">
        <v>1.1000000000000001</v>
      </c>
      <c r="L42" s="257">
        <v>1</v>
      </c>
      <c r="M42" s="257"/>
      <c r="N42" s="257"/>
      <c r="O42" s="276"/>
    </row>
    <row r="43" spans="1:15" s="151" customFormat="1" x14ac:dyDescent="0.3">
      <c r="B43" s="150"/>
      <c r="C43" s="186"/>
      <c r="D43" s="256" t="s">
        <v>89</v>
      </c>
      <c r="E43" s="29"/>
      <c r="F43" s="286" cm="1">
        <f t="array" ref="F43" xml:space="preserve"> INDEX(H43:O43, F$6 + 1)</f>
        <v>1</v>
      </c>
      <c r="G43" s="151" t="s">
        <v>79</v>
      </c>
      <c r="H43" s="276"/>
      <c r="I43" s="257">
        <v>1</v>
      </c>
      <c r="J43" s="257">
        <v>0.9</v>
      </c>
      <c r="K43" s="257">
        <v>1.1000000000000001</v>
      </c>
      <c r="L43" s="257">
        <v>1</v>
      </c>
      <c r="M43" s="257"/>
      <c r="N43" s="257"/>
      <c r="O43" s="276"/>
    </row>
    <row r="44" spans="1:15" s="151" customFormat="1" x14ac:dyDescent="0.3">
      <c r="B44" s="150"/>
      <c r="C44" s="186"/>
      <c r="D44" s="256" t="s">
        <v>90</v>
      </c>
      <c r="E44" s="29"/>
      <c r="F44" s="286" cm="1">
        <f t="array" ref="F44" xml:space="preserve"> INDEX(H44:O44, F$6 + 1)</f>
        <v>1</v>
      </c>
      <c r="G44" s="151" t="s">
        <v>79</v>
      </c>
      <c r="H44" s="276"/>
      <c r="I44" s="257">
        <v>1</v>
      </c>
      <c r="J44" s="257">
        <v>0.9</v>
      </c>
      <c r="K44" s="257">
        <v>1.1000000000000001</v>
      </c>
      <c r="L44" s="257">
        <v>1</v>
      </c>
      <c r="M44" s="257"/>
      <c r="N44" s="257"/>
      <c r="O44" s="276"/>
    </row>
    <row r="45" spans="1:15" s="151" customFormat="1" x14ac:dyDescent="0.3">
      <c r="B45" s="150"/>
      <c r="C45" s="186"/>
      <c r="D45" s="256" t="s">
        <v>91</v>
      </c>
      <c r="E45" s="29"/>
      <c r="F45" s="286" cm="1">
        <f t="array" ref="F45" xml:space="preserve"> INDEX(H45:O45, F$6 + 1)</f>
        <v>1</v>
      </c>
      <c r="G45" s="151" t="s">
        <v>79</v>
      </c>
      <c r="H45" s="276"/>
      <c r="I45" s="257">
        <v>1</v>
      </c>
      <c r="J45" s="257">
        <v>0.9</v>
      </c>
      <c r="K45" s="257">
        <v>1.1000000000000001</v>
      </c>
      <c r="L45" s="257">
        <v>1</v>
      </c>
      <c r="M45" s="257"/>
      <c r="N45" s="257"/>
      <c r="O45" s="276"/>
    </row>
    <row r="46" spans="1:15" s="151" customFormat="1" x14ac:dyDescent="0.3">
      <c r="B46" s="150"/>
      <c r="C46" s="186"/>
      <c r="D46" s="256" t="s">
        <v>92</v>
      </c>
      <c r="E46" s="29"/>
      <c r="F46" s="286" cm="1">
        <f t="array" ref="F46" xml:space="preserve"> INDEX(H46:O46, F$6 + 1)</f>
        <v>1</v>
      </c>
      <c r="G46" s="151" t="s">
        <v>79</v>
      </c>
      <c r="H46" s="276"/>
      <c r="I46" s="257">
        <v>1</v>
      </c>
      <c r="J46" s="257">
        <v>0.9</v>
      </c>
      <c r="K46" s="257">
        <v>1.1000000000000001</v>
      </c>
      <c r="L46" s="257">
        <v>1</v>
      </c>
      <c r="M46" s="257"/>
      <c r="N46" s="257"/>
      <c r="O46" s="276"/>
    </row>
    <row r="47" spans="1:15" s="151" customFormat="1" x14ac:dyDescent="0.3">
      <c r="B47" s="150"/>
      <c r="C47" s="186"/>
      <c r="D47" s="256" t="s">
        <v>93</v>
      </c>
      <c r="E47" s="29"/>
      <c r="F47" s="286" cm="1">
        <f t="array" ref="F47" xml:space="preserve"> INDEX(H47:O47, F$6 + 1)</f>
        <v>1</v>
      </c>
      <c r="G47" s="151" t="s">
        <v>79</v>
      </c>
      <c r="H47" s="276"/>
      <c r="I47" s="257">
        <v>1</v>
      </c>
      <c r="J47" s="257">
        <v>0.9</v>
      </c>
      <c r="K47" s="257">
        <v>1.1000000000000001</v>
      </c>
      <c r="L47" s="257">
        <v>1</v>
      </c>
      <c r="M47" s="257"/>
      <c r="N47" s="257"/>
      <c r="O47" s="276"/>
    </row>
    <row r="48" spans="1:15" s="47" customFormat="1" x14ac:dyDescent="0.3">
      <c r="A48" s="46"/>
      <c r="B48" s="46"/>
      <c r="C48" s="188"/>
      <c r="E48" s="29"/>
      <c r="F48" s="25"/>
      <c r="H48" s="274"/>
      <c r="I48" s="25"/>
      <c r="J48" s="25"/>
      <c r="K48" s="25"/>
      <c r="L48" s="25"/>
      <c r="M48" s="25"/>
      <c r="N48" s="25"/>
      <c r="O48" s="274"/>
    </row>
    <row r="49" spans="1:15" s="47" customFormat="1" x14ac:dyDescent="0.3">
      <c r="A49" s="46"/>
      <c r="B49" s="46" t="s">
        <v>94</v>
      </c>
      <c r="C49" s="188"/>
      <c r="E49" s="29"/>
      <c r="F49" s="25"/>
      <c r="H49" s="274"/>
      <c r="I49" s="25"/>
      <c r="J49" s="25"/>
      <c r="K49" s="25"/>
      <c r="L49" s="25"/>
      <c r="M49" s="25"/>
      <c r="N49" s="25"/>
      <c r="O49" s="274"/>
    </row>
    <row r="50" spans="1:15" s="47" customFormat="1" x14ac:dyDescent="0.3">
      <c r="A50" s="46"/>
      <c r="B50" s="46"/>
      <c r="C50" s="188"/>
      <c r="D50" s="341" t="str">
        <f xml:space="preserve"> Analysis!D$2</f>
        <v>Modelling period ending</v>
      </c>
      <c r="E50" s="29"/>
      <c r="F50" s="53" t="s">
        <v>95</v>
      </c>
      <c r="H50" s="274"/>
      <c r="I50" s="25"/>
      <c r="J50" s="25"/>
      <c r="K50" s="25"/>
      <c r="L50" s="25"/>
      <c r="M50" s="25"/>
      <c r="N50" s="25"/>
      <c r="O50" s="274"/>
    </row>
    <row r="51" spans="1:15" s="47" customFormat="1" x14ac:dyDescent="0.3">
      <c r="A51" s="46"/>
      <c r="B51" s="46"/>
      <c r="C51" s="188"/>
      <c r="E51" s="29"/>
      <c r="F51" s="25"/>
      <c r="H51" s="274"/>
      <c r="I51" s="25"/>
      <c r="J51" s="25"/>
      <c r="K51" s="25"/>
      <c r="L51" s="25"/>
      <c r="M51" s="25"/>
      <c r="N51" s="25"/>
      <c r="O51" s="274"/>
    </row>
    <row r="52" spans="1:15" s="47" customFormat="1" x14ac:dyDescent="0.3">
      <c r="A52" s="46"/>
      <c r="B52" s="46"/>
      <c r="C52" s="188"/>
      <c r="D52" s="16" t="s">
        <v>96</v>
      </c>
      <c r="E52" s="16"/>
      <c r="F52" s="168">
        <v>2021</v>
      </c>
      <c r="G52" s="16" t="s">
        <v>97</v>
      </c>
      <c r="H52" s="274"/>
      <c r="I52" s="25"/>
      <c r="J52" s="25"/>
      <c r="K52" s="25"/>
      <c r="L52" s="25"/>
      <c r="M52" s="25"/>
      <c r="N52" s="25"/>
      <c r="O52" s="274"/>
    </row>
    <row r="53" spans="1:15" s="47" customFormat="1" x14ac:dyDescent="0.3">
      <c r="A53" s="46"/>
      <c r="B53" s="46"/>
      <c r="C53" s="188"/>
      <c r="E53" s="29"/>
      <c r="F53" s="25"/>
      <c r="H53" s="274"/>
      <c r="I53" s="25"/>
      <c r="J53" s="25"/>
      <c r="K53" s="25"/>
      <c r="L53" s="25"/>
      <c r="M53" s="25"/>
      <c r="N53" s="25"/>
      <c r="O53" s="274"/>
    </row>
    <row r="54" spans="1:15" s="47" customFormat="1" x14ac:dyDescent="0.3">
      <c r="A54" s="46"/>
      <c r="B54" s="46"/>
      <c r="C54" s="188"/>
      <c r="D54" s="10" t="s">
        <v>98</v>
      </c>
      <c r="E54" s="26"/>
      <c r="F54" s="19" cm="1">
        <f t="array" ref="F54" xml:space="preserve"> INDEX(H54:O54, F$6 + 1)</f>
        <v>5000000</v>
      </c>
      <c r="G54" s="10" t="s">
        <v>99</v>
      </c>
      <c r="H54" s="274"/>
      <c r="I54" s="149">
        <v>5000000</v>
      </c>
      <c r="J54" s="149">
        <v>5000000</v>
      </c>
      <c r="K54" s="149">
        <v>5000000</v>
      </c>
      <c r="L54" s="149">
        <v>5000000</v>
      </c>
      <c r="M54" s="14"/>
      <c r="N54" s="14"/>
      <c r="O54" s="274"/>
    </row>
    <row r="55" spans="1:15" s="47" customFormat="1" x14ac:dyDescent="0.3">
      <c r="A55" s="46"/>
      <c r="B55" s="46"/>
      <c r="C55" s="188"/>
      <c r="D55" s="38" t="str">
        <f xml:space="preserve"> Analysis!D$30</f>
        <v>Betterment event occurrence flag</v>
      </c>
      <c r="E55" s="29"/>
      <c r="F55" s="25" t="s">
        <v>95</v>
      </c>
      <c r="H55" s="274"/>
      <c r="I55" s="25"/>
      <c r="J55" s="25"/>
      <c r="K55" s="25"/>
      <c r="L55" s="25"/>
      <c r="M55" s="25"/>
      <c r="N55" s="25"/>
      <c r="O55" s="274"/>
    </row>
    <row r="56" spans="1:15" s="47" customFormat="1" x14ac:dyDescent="0.3">
      <c r="A56" s="46"/>
      <c r="B56" s="46"/>
      <c r="C56" s="188"/>
      <c r="E56" s="29"/>
      <c r="F56" s="25"/>
      <c r="H56" s="274"/>
      <c r="I56" s="25"/>
      <c r="J56" s="25"/>
      <c r="K56" s="25"/>
      <c r="L56" s="25"/>
      <c r="M56" s="25"/>
      <c r="N56" s="25"/>
      <c r="O56" s="274"/>
    </row>
    <row r="57" spans="1:15" s="47" customFormat="1" x14ac:dyDescent="0.3">
      <c r="A57" s="46"/>
      <c r="B57" s="46"/>
      <c r="C57" s="188"/>
      <c r="D57" s="10" t="s">
        <v>100</v>
      </c>
      <c r="E57" s="26"/>
      <c r="F57" s="19" cm="1">
        <f t="array" ref="F57" xml:space="preserve"> INDEX(H57:O57, F$6 + 1)</f>
        <v>6700000</v>
      </c>
      <c r="G57" s="10" t="s">
        <v>99</v>
      </c>
      <c r="H57" s="274"/>
      <c r="I57" s="149">
        <v>6700000</v>
      </c>
      <c r="J57" s="149">
        <v>6700000</v>
      </c>
      <c r="K57" s="149">
        <v>6700000</v>
      </c>
      <c r="L57" s="149">
        <v>6700000</v>
      </c>
      <c r="M57" s="149"/>
      <c r="N57" s="149"/>
      <c r="O57" s="274"/>
    </row>
    <row r="58" spans="1:15" s="9" customFormat="1" x14ac:dyDescent="0.3">
      <c r="A58" s="10"/>
      <c r="B58" s="1"/>
      <c r="C58" s="175"/>
      <c r="D58" s="10" t="s">
        <v>101</v>
      </c>
      <c r="E58" s="26"/>
      <c r="F58" s="19" cm="1">
        <f t="array" ref="F58" xml:space="preserve"> INDEX(H58:O58, F$6 + 1)</f>
        <v>4</v>
      </c>
      <c r="G58" s="10" t="s">
        <v>102</v>
      </c>
      <c r="H58" s="344"/>
      <c r="I58" s="149">
        <v>4</v>
      </c>
      <c r="J58" s="149">
        <v>4</v>
      </c>
      <c r="K58" s="149">
        <v>4</v>
      </c>
      <c r="L58" s="149">
        <v>4</v>
      </c>
      <c r="M58" s="149"/>
      <c r="N58" s="149"/>
      <c r="O58" s="344"/>
    </row>
    <row r="59" spans="1:15" s="47" customFormat="1" x14ac:dyDescent="0.3">
      <c r="A59" s="46"/>
      <c r="B59" s="46"/>
      <c r="C59" s="188"/>
      <c r="D59" s="38" t="str">
        <f xml:space="preserve"> Analysis!D$38</f>
        <v>Avoided road damage event occurrence flag</v>
      </c>
      <c r="E59" s="29"/>
      <c r="F59" s="53" t="s">
        <v>95</v>
      </c>
      <c r="H59" s="274"/>
      <c r="I59" s="25"/>
      <c r="J59" s="25"/>
      <c r="K59" s="25"/>
      <c r="L59" s="25"/>
      <c r="M59" s="25"/>
      <c r="N59" s="25"/>
      <c r="O59" s="274"/>
    </row>
    <row r="60" spans="1:15" s="47" customFormat="1" x14ac:dyDescent="0.3">
      <c r="A60" s="46"/>
      <c r="B60" s="46"/>
      <c r="C60" s="200"/>
      <c r="E60" s="29"/>
      <c r="F60" s="25"/>
      <c r="H60" s="274"/>
      <c r="I60" s="25"/>
      <c r="J60" s="25"/>
      <c r="K60" s="25"/>
      <c r="L60" s="25"/>
      <c r="M60" s="25"/>
      <c r="N60" s="25"/>
      <c r="O60" s="274"/>
    </row>
    <row r="61" spans="1:15" s="47" customFormat="1" x14ac:dyDescent="0.3">
      <c r="A61" s="46"/>
      <c r="B61" s="46"/>
      <c r="C61" s="188"/>
      <c r="D61" s="38" t="str">
        <f xml:space="preserve"> Analysis!D$43</f>
        <v>Non-road event occurrence and duration</v>
      </c>
      <c r="E61" s="29"/>
      <c r="F61" s="53" t="s">
        <v>95</v>
      </c>
      <c r="H61" s="274"/>
      <c r="I61" s="25"/>
      <c r="J61" s="25"/>
      <c r="K61" s="25"/>
      <c r="L61" s="25"/>
      <c r="M61" s="25"/>
      <c r="N61" s="25"/>
      <c r="O61" s="274"/>
    </row>
    <row r="62" spans="1:15" s="47" customFormat="1" x14ac:dyDescent="0.3">
      <c r="A62" s="46"/>
      <c r="B62" s="46"/>
      <c r="C62" s="188"/>
      <c r="E62" s="29"/>
      <c r="F62" s="25"/>
      <c r="H62" s="274"/>
      <c r="I62" s="25"/>
      <c r="J62" s="25"/>
      <c r="K62" s="25"/>
      <c r="L62" s="25"/>
      <c r="M62" s="25"/>
      <c r="N62" s="25"/>
      <c r="O62" s="274"/>
    </row>
    <row r="63" spans="1:15" s="47" customFormat="1" x14ac:dyDescent="0.3">
      <c r="A63" s="46"/>
      <c r="B63" s="46"/>
      <c r="C63" s="188"/>
      <c r="D63" s="102" t="s">
        <v>103</v>
      </c>
      <c r="E63" s="16"/>
      <c r="F63" s="103">
        <v>44926</v>
      </c>
      <c r="G63" s="10" t="s">
        <v>104</v>
      </c>
      <c r="H63" s="274"/>
      <c r="I63" s="25"/>
      <c r="J63" s="25"/>
      <c r="K63" s="25"/>
      <c r="L63" s="25"/>
      <c r="M63" s="25"/>
      <c r="N63" s="25"/>
      <c r="O63" s="274"/>
    </row>
    <row r="64" spans="1:15" s="47" customFormat="1" x14ac:dyDescent="0.3">
      <c r="A64" s="46"/>
      <c r="B64" s="46"/>
      <c r="C64" s="188"/>
      <c r="D64" s="48" t="s">
        <v>105</v>
      </c>
      <c r="E64" s="16"/>
      <c r="F64" s="170">
        <v>365.25</v>
      </c>
      <c r="G64" s="47" t="s">
        <v>106</v>
      </c>
      <c r="H64" s="274"/>
      <c r="I64" s="25"/>
      <c r="J64" s="25"/>
      <c r="K64" s="25"/>
      <c r="L64" s="25"/>
      <c r="M64" s="25"/>
      <c r="N64" s="25"/>
      <c r="O64" s="274"/>
    </row>
    <row r="65" spans="1:15" s="47" customFormat="1" x14ac:dyDescent="0.3">
      <c r="A65" s="46"/>
      <c r="B65" s="46"/>
      <c r="C65" s="188"/>
      <c r="E65" s="29"/>
      <c r="F65" s="25"/>
      <c r="H65" s="274"/>
      <c r="I65" s="25"/>
      <c r="J65" s="25"/>
      <c r="K65" s="25"/>
      <c r="L65" s="25"/>
      <c r="M65" s="25"/>
      <c r="N65" s="25"/>
      <c r="O65" s="274"/>
    </row>
    <row r="66" spans="1:15" s="47" customFormat="1" x14ac:dyDescent="0.3">
      <c r="A66" s="46"/>
      <c r="B66" s="46"/>
      <c r="C66" s="188"/>
      <c r="D66" s="105" t="s">
        <v>107</v>
      </c>
      <c r="E66" s="319"/>
      <c r="F66" s="106">
        <v>0.05</v>
      </c>
      <c r="G66" s="105" t="s">
        <v>108</v>
      </c>
      <c r="H66" s="274"/>
      <c r="I66" s="25"/>
      <c r="J66" s="25"/>
      <c r="K66" s="25"/>
      <c r="L66" s="25"/>
      <c r="M66" s="25"/>
      <c r="N66" s="25"/>
      <c r="O66" s="274"/>
    </row>
    <row r="67" spans="1:15" s="47" customFormat="1" x14ac:dyDescent="0.3">
      <c r="A67" s="46"/>
      <c r="B67" s="46"/>
      <c r="C67" s="188"/>
      <c r="E67" s="29"/>
      <c r="F67" s="25"/>
      <c r="H67" s="274"/>
      <c r="I67" s="25"/>
      <c r="J67" s="25"/>
      <c r="K67" s="25"/>
      <c r="L67" s="25"/>
      <c r="M67" s="25"/>
      <c r="N67" s="25"/>
      <c r="O67" s="274"/>
    </row>
    <row r="68" spans="1:15" s="47" customFormat="1" x14ac:dyDescent="0.3">
      <c r="A68" s="46"/>
      <c r="B68" s="46"/>
      <c r="C68" s="188"/>
      <c r="E68" s="29"/>
      <c r="F68" s="25"/>
      <c r="H68" s="274"/>
      <c r="I68" s="25"/>
      <c r="J68" s="25"/>
      <c r="K68" s="25"/>
      <c r="L68" s="25"/>
      <c r="M68" s="25"/>
      <c r="N68" s="25"/>
      <c r="O68" s="274"/>
    </row>
    <row r="69" spans="1:15" s="47" customFormat="1" x14ac:dyDescent="0.3">
      <c r="A69" s="46" t="s">
        <v>109</v>
      </c>
      <c r="B69" s="46"/>
      <c r="C69" s="188"/>
      <c r="E69" s="29"/>
      <c r="F69" s="25"/>
      <c r="H69" s="274"/>
      <c r="I69" s="25"/>
      <c r="J69" s="25"/>
      <c r="K69" s="25"/>
      <c r="L69" s="25"/>
      <c r="M69" s="25"/>
      <c r="N69" s="25"/>
      <c r="O69" s="274"/>
    </row>
    <row r="70" spans="1:15" s="47" customFormat="1" x14ac:dyDescent="0.3">
      <c r="A70" s="46"/>
      <c r="B70" s="46"/>
      <c r="C70" s="188"/>
      <c r="D70" s="291" t="s">
        <v>110</v>
      </c>
      <c r="E70" s="76"/>
      <c r="F70" s="25"/>
      <c r="H70" s="274"/>
      <c r="I70" s="25"/>
      <c r="J70" s="25"/>
      <c r="K70" s="25"/>
      <c r="L70" s="25"/>
      <c r="M70" s="25"/>
      <c r="N70" s="25"/>
      <c r="O70" s="274"/>
    </row>
    <row r="71" spans="1:15" s="47" customFormat="1" x14ac:dyDescent="0.3">
      <c r="A71" s="46"/>
      <c r="B71" s="46"/>
      <c r="C71" s="188"/>
      <c r="E71" s="29"/>
      <c r="F71" s="25"/>
      <c r="H71" s="274"/>
      <c r="I71" s="25"/>
      <c r="J71" s="25"/>
      <c r="K71" s="25"/>
      <c r="L71" s="25"/>
      <c r="M71" s="25"/>
      <c r="N71" s="25"/>
      <c r="O71" s="274"/>
    </row>
    <row r="72" spans="1:15" s="8" customFormat="1" x14ac:dyDescent="0.3">
      <c r="A72" s="41"/>
      <c r="B72" s="227" t="str">
        <f xml:space="preserve"> Analysis!B$9</f>
        <v>Non-road benefits in 2021 prices</v>
      </c>
      <c r="C72" s="228"/>
      <c r="D72" s="73"/>
      <c r="E72" s="317"/>
      <c r="F72" s="73"/>
      <c r="G72" s="73"/>
      <c r="H72" s="247"/>
      <c r="I72" s="73"/>
      <c r="J72" s="73"/>
      <c r="K72" s="73"/>
      <c r="L72" s="73"/>
      <c r="M72" s="73"/>
      <c r="N72" s="73"/>
      <c r="O72" s="247"/>
    </row>
    <row r="73" spans="1:15" s="8" customFormat="1" x14ac:dyDescent="0.3">
      <c r="A73" s="41"/>
      <c r="B73" s="41"/>
      <c r="C73" s="43"/>
      <c r="D73" s="259" t="str">
        <f>'Non-road benefits calcs'!D$16</f>
        <v>1 Fuel cost</v>
      </c>
      <c r="E73" s="307"/>
      <c r="F73" s="259">
        <f>'Non-road benefits calcs'!F$16</f>
        <v>720</v>
      </c>
      <c r="G73" s="259" t="str">
        <f>'Non-road benefits calcs'!G$16</f>
        <v>AUD/day</v>
      </c>
      <c r="H73" s="247"/>
      <c r="I73" s="280">
        <v>720</v>
      </c>
      <c r="J73" s="280">
        <v>648</v>
      </c>
      <c r="K73" s="280">
        <v>792.00000000000011</v>
      </c>
      <c r="L73" s="280">
        <v>720</v>
      </c>
      <c r="M73" s="280"/>
      <c r="N73" s="280"/>
      <c r="O73" s="247"/>
    </row>
    <row r="74" spans="1:15" s="8" customFormat="1" x14ac:dyDescent="0.3">
      <c r="A74" s="41"/>
      <c r="B74" s="41"/>
      <c r="C74" s="43"/>
      <c r="D74" s="259" t="str">
        <f>'Non-road benefits calcs'!D$23</f>
        <v>2 O&amp;M cost of vehicles</v>
      </c>
      <c r="E74" s="307"/>
      <c r="F74" s="259">
        <f>'Non-road benefits calcs'!F$23</f>
        <v>46.144687500000003</v>
      </c>
      <c r="G74" s="259" t="str">
        <f>'Non-road benefits calcs'!G$23</f>
        <v>AUD/day</v>
      </c>
      <c r="H74" s="247"/>
      <c r="I74" s="280">
        <v>46.144687500000003</v>
      </c>
      <c r="J74" s="280">
        <v>41.530218750000003</v>
      </c>
      <c r="K74" s="280">
        <v>50.759156250000011</v>
      </c>
      <c r="L74" s="280">
        <v>46.144687500000003</v>
      </c>
      <c r="M74" s="280"/>
      <c r="N74" s="280"/>
      <c r="O74" s="247"/>
    </row>
    <row r="75" spans="1:15" s="8" customFormat="1" x14ac:dyDescent="0.3">
      <c r="A75" s="41"/>
      <c r="B75" s="41"/>
      <c r="C75" s="43"/>
      <c r="D75" s="259" t="str">
        <f>'Non-road benefits calcs'!D$44</f>
        <v>3 O&amp;M cost of roads</v>
      </c>
      <c r="E75" s="307"/>
      <c r="F75" s="259">
        <f>'Non-road benefits calcs'!F$44</f>
        <v>9.9406750684931513</v>
      </c>
      <c r="G75" s="259" t="str">
        <f>'Non-road benefits calcs'!G$44</f>
        <v>AUD/day</v>
      </c>
      <c r="H75" s="247"/>
      <c r="I75" s="280">
        <v>9.9406750684931513</v>
      </c>
      <c r="J75" s="280">
        <v>8.9466075616438356</v>
      </c>
      <c r="K75" s="280">
        <v>10.934742575342467</v>
      </c>
      <c r="L75" s="280">
        <v>9.9406750684931513</v>
      </c>
      <c r="M75" s="280"/>
      <c r="N75" s="280"/>
      <c r="O75" s="247"/>
    </row>
    <row r="76" spans="1:15" s="8" customFormat="1" x14ac:dyDescent="0.3">
      <c r="A76" s="41"/>
      <c r="B76" s="41"/>
      <c r="C76" s="43"/>
      <c r="D76" s="259" t="str">
        <f>'Non-road benefits calcs'!D$54</f>
        <v>4 Cost of travel time</v>
      </c>
      <c r="E76" s="307"/>
      <c r="F76" s="259">
        <f>'Non-road benefits calcs'!F$54</f>
        <v>500.66985937500004</v>
      </c>
      <c r="G76" s="259" t="str">
        <f>'Non-road benefits calcs'!G$54</f>
        <v>AUD/day</v>
      </c>
      <c r="H76" s="247"/>
      <c r="I76" s="280">
        <v>500.66985937500004</v>
      </c>
      <c r="J76" s="280">
        <v>450.60287343750002</v>
      </c>
      <c r="K76" s="280">
        <v>550.73684531250012</v>
      </c>
      <c r="L76" s="280">
        <v>500.66985937500004</v>
      </c>
      <c r="M76" s="280"/>
      <c r="N76" s="280"/>
      <c r="O76" s="247"/>
    </row>
    <row r="77" spans="1:15" s="8" customFormat="1" x14ac:dyDescent="0.3">
      <c r="A77" s="41"/>
      <c r="B77" s="41"/>
      <c r="C77" s="43"/>
      <c r="D77" s="260" t="str">
        <f>'Non-road benefits calcs'!D$74</f>
        <v>5 Air pollution</v>
      </c>
      <c r="E77" s="321"/>
      <c r="F77" s="260">
        <f>'Non-road benefits calcs'!F$74</f>
        <v>1655.77393125</v>
      </c>
      <c r="G77" s="260" t="str">
        <f>'Non-road benefits calcs'!G$74</f>
        <v>AUD/day</v>
      </c>
      <c r="H77" s="247"/>
      <c r="I77" s="280">
        <v>1655.77393125</v>
      </c>
      <c r="J77" s="280">
        <v>1490.196538125</v>
      </c>
      <c r="K77" s="280">
        <v>1821.3513243750001</v>
      </c>
      <c r="L77" s="280">
        <v>1655.77393125</v>
      </c>
      <c r="M77" s="280"/>
      <c r="N77" s="280"/>
      <c r="O77" s="247"/>
    </row>
    <row r="78" spans="1:15" s="8" customFormat="1" x14ac:dyDescent="0.3">
      <c r="A78" s="41"/>
      <c r="B78" s="41"/>
      <c r="C78" s="43"/>
      <c r="D78" s="260" t="str">
        <f xml:space="preserve"> 'Non-road benefits calcs'!D$94</f>
        <v>6 Noise pollution</v>
      </c>
      <c r="E78" s="321"/>
      <c r="F78" s="260">
        <f xml:space="preserve"> 'Non-road benefits calcs'!F$94</f>
        <v>286.30214999999998</v>
      </c>
      <c r="G78" s="260" t="str">
        <f xml:space="preserve"> 'Non-road benefits calcs'!G$94</f>
        <v>AUD/day</v>
      </c>
      <c r="H78" s="247"/>
      <c r="I78" s="280">
        <v>286.30214999999998</v>
      </c>
      <c r="J78" s="280">
        <v>257.67193500000002</v>
      </c>
      <c r="K78" s="280">
        <v>314.932365</v>
      </c>
      <c r="L78" s="280">
        <v>286.30214999999998</v>
      </c>
      <c r="M78" s="280"/>
      <c r="N78" s="280"/>
      <c r="O78" s="247"/>
    </row>
    <row r="79" spans="1:15" s="8" customFormat="1" x14ac:dyDescent="0.3">
      <c r="A79" s="41"/>
      <c r="B79" s="41"/>
      <c r="C79" s="43"/>
      <c r="D79" s="260" t="str">
        <f xml:space="preserve"> 'Non-road benefits calcs'!D$114</f>
        <v>7 Water pollution</v>
      </c>
      <c r="E79" s="321"/>
      <c r="F79" s="260">
        <f xml:space="preserve"> 'Non-road benefits calcs'!F$114</f>
        <v>248.3609625</v>
      </c>
      <c r="G79" s="260" t="str">
        <f xml:space="preserve"> 'Non-road benefits calcs'!G$114</f>
        <v>AUD/day</v>
      </c>
      <c r="H79" s="247"/>
      <c r="I79" s="280">
        <v>248.3609625</v>
      </c>
      <c r="J79" s="280">
        <v>223.52486625</v>
      </c>
      <c r="K79" s="280">
        <v>273.19705875</v>
      </c>
      <c r="L79" s="280">
        <v>248.3609625</v>
      </c>
      <c r="M79" s="280"/>
      <c r="N79" s="280"/>
      <c r="O79" s="247"/>
    </row>
    <row r="80" spans="1:15" s="8" customFormat="1" x14ac:dyDescent="0.3">
      <c r="A80" s="41"/>
      <c r="B80" s="41"/>
      <c r="C80" s="43"/>
      <c r="D80" s="260" t="str">
        <f xml:space="preserve"> 'Non-road benefits calcs'!D$134</f>
        <v>8 GHG emissions</v>
      </c>
      <c r="E80" s="321"/>
      <c r="F80" s="260">
        <f xml:space="preserve"> 'Non-road benefits calcs'!F$134</f>
        <v>528.10031249999997</v>
      </c>
      <c r="G80" s="260" t="str">
        <f xml:space="preserve"> 'Non-road benefits calcs'!G$134</f>
        <v>AUD/day</v>
      </c>
      <c r="H80" s="247"/>
      <c r="I80" s="280">
        <v>528.10031249999997</v>
      </c>
      <c r="J80" s="280">
        <v>475.29028124999996</v>
      </c>
      <c r="K80" s="280">
        <v>580.91034375000004</v>
      </c>
      <c r="L80" s="280">
        <v>528.10031249999997</v>
      </c>
      <c r="M80" s="280"/>
      <c r="N80" s="280"/>
      <c r="O80" s="247"/>
    </row>
    <row r="81" spans="1:15" s="8" customFormat="1" x14ac:dyDescent="0.3">
      <c r="A81" s="41"/>
      <c r="B81" s="41"/>
      <c r="C81" s="43"/>
      <c r="D81" s="260" t="str">
        <f xml:space="preserve"> 'Non-road benefits calcs'!D$154</f>
        <v>9 Nature and landscape</v>
      </c>
      <c r="E81" s="321"/>
      <c r="F81" s="260">
        <f xml:space="preserve"> 'Non-road benefits calcs'!F$154</f>
        <v>181.81006875000003</v>
      </c>
      <c r="G81" s="260" t="str">
        <f xml:space="preserve"> 'Non-road benefits calcs'!G$154</f>
        <v>AUD/day</v>
      </c>
      <c r="H81" s="247"/>
      <c r="I81" s="280">
        <v>181.81006875000003</v>
      </c>
      <c r="J81" s="280">
        <v>163.62906187500002</v>
      </c>
      <c r="K81" s="280">
        <v>199.99107562500004</v>
      </c>
      <c r="L81" s="280">
        <v>181.81006875000003</v>
      </c>
      <c r="M81" s="280"/>
      <c r="N81" s="280"/>
      <c r="O81" s="247"/>
    </row>
    <row r="82" spans="1:15" s="8" customFormat="1" x14ac:dyDescent="0.3">
      <c r="A82" s="41"/>
      <c r="B82" s="41"/>
      <c r="C82" s="43"/>
      <c r="D82" s="259" t="str">
        <f>'Non-road benefits calcs'!D$166</f>
        <v>10 Crop and fruit revenue</v>
      </c>
      <c r="E82" s="307"/>
      <c r="F82" s="259">
        <f>'Non-road benefits calcs'!F$166</f>
        <v>16337.778170699998</v>
      </c>
      <c r="G82" s="259" t="str">
        <f>'Non-road benefits calcs'!G$166</f>
        <v>AUD/day</v>
      </c>
      <c r="H82" s="247"/>
      <c r="I82" s="280">
        <v>16337.778170699998</v>
      </c>
      <c r="J82" s="280">
        <v>14704.000353629997</v>
      </c>
      <c r="K82" s="280">
        <v>17971.55598777</v>
      </c>
      <c r="L82" s="280">
        <v>1689.0515452159998</v>
      </c>
      <c r="M82" s="280"/>
      <c r="N82" s="280"/>
      <c r="O82" s="247"/>
    </row>
    <row r="83" spans="1:15" s="8" customFormat="1" x14ac:dyDescent="0.3">
      <c r="A83" s="41"/>
      <c r="B83" s="41"/>
      <c r="C83" s="43"/>
      <c r="D83" s="259" t="str">
        <f>'Non-road benefits calcs'!D$173</f>
        <v xml:space="preserve">11 Fish revenue </v>
      </c>
      <c r="E83" s="307"/>
      <c r="F83" s="259">
        <f>'Non-road benefits calcs'!F$173</f>
        <v>70</v>
      </c>
      <c r="G83" s="259" t="str">
        <f>'Non-road benefits calcs'!G$173</f>
        <v>AUD/day</v>
      </c>
      <c r="H83" s="247"/>
      <c r="I83" s="280">
        <v>70</v>
      </c>
      <c r="J83" s="280">
        <v>63</v>
      </c>
      <c r="K83" s="280">
        <v>77</v>
      </c>
      <c r="L83" s="280">
        <v>70</v>
      </c>
      <c r="M83" s="280"/>
      <c r="N83" s="280"/>
      <c r="O83" s="247"/>
    </row>
    <row r="84" spans="1:15" s="8" customFormat="1" x14ac:dyDescent="0.3">
      <c r="A84" s="41"/>
      <c r="B84" s="41"/>
      <c r="C84" s="43"/>
      <c r="D84" s="259" t="str">
        <f>'Non-road benefits calcs'!D$196</f>
        <v xml:space="preserve">12 Livestock revenue </v>
      </c>
      <c r="E84" s="307"/>
      <c r="F84" s="259">
        <f>'Non-road benefits calcs'!F$196</f>
        <v>1148.0267464712852</v>
      </c>
      <c r="G84" s="259" t="str">
        <f>'Non-road benefits calcs'!G$196</f>
        <v>AUD/day</v>
      </c>
      <c r="H84" s="247"/>
      <c r="I84" s="280">
        <v>1148.0267464712849</v>
      </c>
      <c r="J84" s="280">
        <v>1033.2240718241565</v>
      </c>
      <c r="K84" s="280">
        <v>1262.8294211184136</v>
      </c>
      <c r="L84" s="280">
        <v>656.47189624936016</v>
      </c>
      <c r="M84" s="280"/>
      <c r="N84" s="280"/>
      <c r="O84" s="247"/>
    </row>
    <row r="85" spans="1:15" s="8" customFormat="1" x14ac:dyDescent="0.3">
      <c r="A85" s="41"/>
      <c r="B85" s="41"/>
      <c r="C85" s="43"/>
      <c r="D85" s="259" t="str">
        <f>'Non-road benefits calcs'!D$202</f>
        <v>13 Access to essential items/services</v>
      </c>
      <c r="E85" s="307"/>
      <c r="F85" s="259">
        <f>'Non-road benefits calcs'!F$202</f>
        <v>5000</v>
      </c>
      <c r="G85" s="259" t="str">
        <f>'Non-road benefits calcs'!G$202</f>
        <v>AUD/day</v>
      </c>
      <c r="H85" s="247"/>
      <c r="I85" s="280">
        <v>5000</v>
      </c>
      <c r="J85" s="280">
        <v>4500</v>
      </c>
      <c r="K85" s="280">
        <v>5500</v>
      </c>
      <c r="L85" s="280">
        <v>5000</v>
      </c>
      <c r="M85" s="280"/>
      <c r="N85" s="280"/>
      <c r="O85" s="247"/>
    </row>
    <row r="86" spans="1:15" s="8" customFormat="1" x14ac:dyDescent="0.3">
      <c r="A86" s="41"/>
      <c r="B86" s="41"/>
      <c r="C86" s="43"/>
      <c r="D86" s="259" t="str">
        <f>'Non-road benefits calcs'!D$212</f>
        <v xml:space="preserve">14 Access to workplace and schools </v>
      </c>
      <c r="E86" s="307"/>
      <c r="F86" s="259">
        <f>'Non-road benefits calcs'!F$212</f>
        <v>3000.0000000000005</v>
      </c>
      <c r="G86" s="259" t="str">
        <f>'Non-road benefits calcs'!G$212</f>
        <v>AUD/day</v>
      </c>
      <c r="H86" s="247"/>
      <c r="I86" s="280">
        <v>3000.0000000000005</v>
      </c>
      <c r="J86" s="280">
        <v>2700.0000000000005</v>
      </c>
      <c r="K86" s="280">
        <v>3300.0000000000009</v>
      </c>
      <c r="L86" s="280">
        <v>3000.0000000000005</v>
      </c>
      <c r="M86" s="280"/>
      <c r="N86" s="280"/>
      <c r="O86" s="247"/>
    </row>
    <row r="87" spans="1:15" s="8" customFormat="1" x14ac:dyDescent="0.3">
      <c r="A87" s="41"/>
      <c r="B87" s="41"/>
      <c r="C87" s="43"/>
      <c r="D87" s="259" t="str">
        <f>'Non-road benefits calcs'!D$221</f>
        <v xml:space="preserve">15 Mental health </v>
      </c>
      <c r="E87" s="307"/>
      <c r="F87" s="259">
        <f>'Non-road benefits calcs'!F$221</f>
        <v>59.041095890410958</v>
      </c>
      <c r="G87" s="259" t="str">
        <f>'Non-road benefits calcs'!G$221</f>
        <v>AUD/day</v>
      </c>
      <c r="H87" s="247"/>
      <c r="I87" s="280">
        <v>59.041095890410958</v>
      </c>
      <c r="J87" s="280">
        <v>53.136986301369866</v>
      </c>
      <c r="K87" s="280">
        <v>64.945205479452056</v>
      </c>
      <c r="L87" s="280">
        <v>59.041095890410958</v>
      </c>
      <c r="M87" s="280"/>
      <c r="N87" s="280"/>
      <c r="O87" s="247"/>
    </row>
    <row r="88" spans="1:15" s="8" customFormat="1" x14ac:dyDescent="0.3">
      <c r="A88" s="41"/>
      <c r="B88" s="41"/>
      <c r="C88" s="43"/>
      <c r="D88" s="239" t="str">
        <f xml:space="preserve"> Analysis!D$25</f>
        <v>Non-road benefits in 2021 prices</v>
      </c>
      <c r="E88" s="318"/>
      <c r="F88" s="239">
        <f xml:space="preserve"> Analysis!F$25</f>
        <v>29791.948660005186</v>
      </c>
      <c r="G88" s="239" t="str">
        <f xml:space="preserve"> Analysis!G$25</f>
        <v>AUD/day</v>
      </c>
      <c r="H88" s="247"/>
      <c r="I88" s="233">
        <v>29791.948660005186</v>
      </c>
      <c r="J88" s="233">
        <v>26812.753794004668</v>
      </c>
      <c r="K88" s="233">
        <v>32771.143526005711</v>
      </c>
      <c r="L88" s="233">
        <v>14651.667184299264</v>
      </c>
      <c r="M88" s="233"/>
      <c r="N88" s="233"/>
      <c r="O88" s="247"/>
    </row>
    <row r="89" spans="1:15" x14ac:dyDescent="0.3">
      <c r="I89" s="5"/>
      <c r="J89" s="5"/>
      <c r="K89" s="5"/>
      <c r="L89" s="5"/>
      <c r="M89" s="5"/>
      <c r="N89" s="5"/>
    </row>
    <row r="90" spans="1:15" x14ac:dyDescent="0.3">
      <c r="B90" s="1" t="str">
        <f xml:space="preserve"> Analysis!B46</f>
        <v>Value Statement in 2021 prices</v>
      </c>
      <c r="F90" s="223"/>
      <c r="I90" s="281"/>
      <c r="J90" s="281"/>
      <c r="K90" s="281"/>
      <c r="L90" s="281"/>
      <c r="M90" s="281"/>
      <c r="N90" s="281"/>
    </row>
    <row r="91" spans="1:15" s="8" customFormat="1" x14ac:dyDescent="0.3">
      <c r="A91" s="41"/>
      <c r="B91" s="41"/>
      <c r="C91" s="43"/>
      <c r="D91" s="8" t="str">
        <f xml:space="preserve"> Analysis!D$47</f>
        <v>Betterment cost</v>
      </c>
      <c r="E91" s="317"/>
      <c r="F91" s="19">
        <f xml:space="preserve"> Analysis!H$47</f>
        <v>-5000000</v>
      </c>
      <c r="G91" s="8" t="str">
        <f xml:space="preserve"> Analysis!G$47</f>
        <v>AUD</v>
      </c>
      <c r="H91" s="247"/>
      <c r="I91" s="171">
        <v>-5000000</v>
      </c>
      <c r="J91" s="171">
        <v>-5000000</v>
      </c>
      <c r="K91" s="171">
        <v>-5000000</v>
      </c>
      <c r="L91" s="171">
        <v>-5000000</v>
      </c>
      <c r="M91" s="171"/>
      <c r="N91" s="171"/>
      <c r="O91" s="247"/>
    </row>
    <row r="92" spans="1:15" s="8" customFormat="1" x14ac:dyDescent="0.3">
      <c r="A92" s="41"/>
      <c r="B92" s="41"/>
      <c r="C92" s="43"/>
      <c r="D92" s="8" t="str">
        <f xml:space="preserve"> Analysis!D$48</f>
        <v>Avoided road damage benefit</v>
      </c>
      <c r="E92" s="317"/>
      <c r="F92" s="19">
        <f xml:space="preserve"> Analysis!H$48</f>
        <v>10050000</v>
      </c>
      <c r="G92" s="8" t="str">
        <f xml:space="preserve"> Analysis!G$48</f>
        <v>AUD</v>
      </c>
      <c r="H92" s="247"/>
      <c r="I92" s="171">
        <v>10050000</v>
      </c>
      <c r="J92" s="171">
        <v>10050000</v>
      </c>
      <c r="K92" s="171">
        <v>10050000</v>
      </c>
      <c r="L92" s="171">
        <v>10050000</v>
      </c>
      <c r="M92" s="171"/>
      <c r="N92" s="171"/>
      <c r="O92" s="247"/>
    </row>
    <row r="93" spans="1:15" s="8" customFormat="1" x14ac:dyDescent="0.3">
      <c r="A93" s="41"/>
      <c r="B93" s="41"/>
      <c r="C93" s="43"/>
      <c r="D93" s="239" t="str">
        <f xml:space="preserve"> Analysis!D$49</f>
        <v>Net benefits excl. non-road benefits</v>
      </c>
      <c r="E93" s="318"/>
      <c r="F93" s="212">
        <f xml:space="preserve"> Analysis!H$49</f>
        <v>5050000</v>
      </c>
      <c r="G93" s="239" t="str">
        <f xml:space="preserve"> Analysis!G$49</f>
        <v>AUD</v>
      </c>
      <c r="H93" s="247"/>
      <c r="I93" s="233">
        <v>5050000</v>
      </c>
      <c r="J93" s="233">
        <v>5050000</v>
      </c>
      <c r="K93" s="233">
        <v>5050000</v>
      </c>
      <c r="L93" s="233">
        <v>5050000</v>
      </c>
      <c r="M93" s="233"/>
      <c r="N93" s="233"/>
      <c r="O93" s="247"/>
    </row>
    <row r="94" spans="1:15" s="8" customFormat="1" x14ac:dyDescent="0.3">
      <c r="A94" s="41"/>
      <c r="B94" s="41"/>
      <c r="C94" s="43"/>
      <c r="E94" s="317"/>
      <c r="F94" s="19"/>
      <c r="H94" s="247"/>
      <c r="I94" s="171"/>
      <c r="J94" s="171"/>
      <c r="K94" s="171"/>
      <c r="L94" s="171"/>
      <c r="M94" s="171"/>
      <c r="N94" s="171"/>
      <c r="O94" s="247"/>
    </row>
    <row r="95" spans="1:15" s="8" customFormat="1" x14ac:dyDescent="0.3">
      <c r="A95" s="41"/>
      <c r="B95" s="41"/>
      <c r="C95" s="43"/>
      <c r="D95" s="8" t="str">
        <f xml:space="preserve"> Analysis!D$51</f>
        <v>Non-road benefits</v>
      </c>
      <c r="E95" s="317"/>
      <c r="F95" s="19">
        <f xml:space="preserve"> Analysis!H$51</f>
        <v>4021913.0691007003</v>
      </c>
      <c r="G95" s="8" t="str">
        <f xml:space="preserve"> Analysis!G$51</f>
        <v>AUD</v>
      </c>
      <c r="H95" s="247"/>
      <c r="I95" s="171">
        <v>4021913.0691007003</v>
      </c>
      <c r="J95" s="171">
        <v>3619721.7621906302</v>
      </c>
      <c r="K95" s="171">
        <v>4424104.3760107709</v>
      </c>
      <c r="L95" s="171">
        <v>1977975.0698804006</v>
      </c>
      <c r="M95" s="171"/>
      <c r="N95" s="171"/>
      <c r="O95" s="247"/>
    </row>
    <row r="96" spans="1:15" s="8" customFormat="1" x14ac:dyDescent="0.3">
      <c r="A96" s="41"/>
      <c r="B96" s="41"/>
      <c r="C96" s="43"/>
      <c r="D96" s="239" t="str">
        <f xml:space="preserve"> Analysis!D$52</f>
        <v>Net benefits incl. non-road benefits</v>
      </c>
      <c r="E96" s="318"/>
      <c r="F96" s="212">
        <f xml:space="preserve"> Analysis!H$52</f>
        <v>9071913.0691007003</v>
      </c>
      <c r="G96" s="239" t="str">
        <f xml:space="preserve"> Analysis!G$52</f>
        <v>AUD</v>
      </c>
      <c r="H96" s="247"/>
      <c r="I96" s="233">
        <v>9071913.0691007003</v>
      </c>
      <c r="J96" s="233">
        <v>8669721.7621906288</v>
      </c>
      <c r="K96" s="233">
        <v>9474104.3760107718</v>
      </c>
      <c r="L96" s="233">
        <v>7027975.0698804008</v>
      </c>
      <c r="M96" s="233"/>
      <c r="N96" s="233"/>
      <c r="O96" s="247"/>
    </row>
    <row r="97" spans="1:15" x14ac:dyDescent="0.3">
      <c r="F97" s="223"/>
      <c r="I97" s="281"/>
      <c r="J97" s="281"/>
      <c r="K97" s="281"/>
      <c r="L97" s="281"/>
      <c r="M97" s="281"/>
      <c r="N97" s="281"/>
    </row>
    <row r="98" spans="1:15" x14ac:dyDescent="0.3">
      <c r="B98" s="1" t="s">
        <v>111</v>
      </c>
      <c r="I98" s="5"/>
      <c r="J98" s="5"/>
      <c r="K98" s="5"/>
      <c r="L98" s="5"/>
      <c r="M98" s="5"/>
      <c r="N98" s="5"/>
    </row>
    <row r="99" spans="1:15" s="8" customFormat="1" x14ac:dyDescent="0.3">
      <c r="A99" s="41"/>
      <c r="B99" s="41"/>
      <c r="C99" s="43"/>
      <c r="D99" s="237" t="str">
        <f xml:space="preserve"> D$58</f>
        <v>Number of past occurences</v>
      </c>
      <c r="E99" s="314">
        <f xml:space="preserve"> E$58</f>
        <v>0</v>
      </c>
      <c r="F99" s="237">
        <f xml:space="preserve"> F$58</f>
        <v>4</v>
      </c>
      <c r="G99" s="237" t="str">
        <f xml:space="preserve"> G$58</f>
        <v>occurences</v>
      </c>
      <c r="H99" s="247"/>
      <c r="I99" s="171">
        <v>4</v>
      </c>
      <c r="J99" s="171">
        <v>4</v>
      </c>
      <c r="K99" s="171">
        <v>4</v>
      </c>
      <c r="L99" s="171">
        <v>4</v>
      </c>
      <c r="M99" s="171"/>
      <c r="N99" s="171"/>
      <c r="O99" s="247"/>
    </row>
    <row r="100" spans="1:15" s="8" customFormat="1" x14ac:dyDescent="0.3">
      <c r="A100" s="41"/>
      <c r="B100" s="41"/>
      <c r="C100" s="43"/>
      <c r="D100" s="8" t="str">
        <f xml:space="preserve"> Analysis!D$38</f>
        <v>Avoided road damage event occurrence flag</v>
      </c>
      <c r="E100" s="317"/>
      <c r="F100" s="8">
        <f xml:space="preserve"> Analysis!H$38</f>
        <v>6</v>
      </c>
      <c r="G100" s="8" t="str">
        <f xml:space="preserve"> Analysis!G$38</f>
        <v>flag</v>
      </c>
      <c r="H100" s="247"/>
      <c r="I100" s="171">
        <v>6</v>
      </c>
      <c r="J100" s="171">
        <v>6</v>
      </c>
      <c r="K100" s="171">
        <v>6</v>
      </c>
      <c r="L100" s="171">
        <v>6</v>
      </c>
      <c r="M100" s="171"/>
      <c r="N100" s="171"/>
      <c r="O100" s="247"/>
    </row>
    <row r="101" spans="1:15" s="8" customFormat="1" x14ac:dyDescent="0.3">
      <c r="A101" s="41"/>
      <c r="B101" s="41"/>
      <c r="C101" s="43"/>
      <c r="D101" s="8" t="str">
        <f xml:space="preserve"> Analysis!D$43</f>
        <v>Non-road event occurrence and duration</v>
      </c>
      <c r="E101" s="317"/>
      <c r="F101" s="8">
        <f xml:space="preserve"> Analysis!H$43</f>
        <v>135</v>
      </c>
      <c r="G101" s="8" t="str">
        <f xml:space="preserve"> Analysis!G$43</f>
        <v>days</v>
      </c>
      <c r="H101" s="247"/>
      <c r="I101" s="171">
        <v>135</v>
      </c>
      <c r="J101" s="171">
        <v>135</v>
      </c>
      <c r="K101" s="171">
        <v>135</v>
      </c>
      <c r="L101" s="171">
        <v>135</v>
      </c>
      <c r="M101" s="171"/>
      <c r="N101" s="171"/>
      <c r="O101" s="247"/>
    </row>
    <row r="102" spans="1:15" s="8" customFormat="1" x14ac:dyDescent="0.3">
      <c r="A102" s="41"/>
      <c r="B102" s="41"/>
      <c r="C102" s="43"/>
      <c r="E102" s="317"/>
      <c r="H102" s="247"/>
      <c r="I102" s="171"/>
      <c r="J102" s="171"/>
      <c r="K102" s="171"/>
      <c r="L102" s="171"/>
      <c r="M102" s="171"/>
      <c r="N102" s="171"/>
      <c r="O102" s="247"/>
    </row>
    <row r="103" spans="1:15" s="8" customFormat="1" x14ac:dyDescent="0.3">
      <c r="A103" s="41"/>
      <c r="B103" s="41" t="s">
        <v>112</v>
      </c>
      <c r="C103" s="43"/>
      <c r="E103" s="317"/>
      <c r="F103" s="261"/>
      <c r="G103" s="261"/>
      <c r="H103" s="247"/>
      <c r="I103" s="282"/>
      <c r="J103" s="282"/>
      <c r="K103" s="282"/>
      <c r="L103" s="282"/>
      <c r="M103" s="282"/>
      <c r="N103" s="282"/>
      <c r="O103" s="247"/>
    </row>
    <row r="104" spans="1:15" s="73" customFormat="1" x14ac:dyDescent="0.3">
      <c r="A104" s="227"/>
      <c r="B104" s="227"/>
      <c r="C104" s="228"/>
      <c r="D104" s="234" t="str">
        <f xml:space="preserve"> Analysis!D$57</f>
        <v>BCR excl. non-road benefits</v>
      </c>
      <c r="E104" s="29"/>
      <c r="F104" s="234">
        <f xml:space="preserve"> Analysis!F$57</f>
        <v>2.0099999999999998</v>
      </c>
      <c r="G104" s="234" t="str">
        <f xml:space="preserve"> Analysis!G$57</f>
        <v>ratio</v>
      </c>
      <c r="H104" s="277"/>
      <c r="I104" s="230">
        <v>2.0099999999999998</v>
      </c>
      <c r="J104" s="230">
        <v>2.0099999999999998</v>
      </c>
      <c r="K104" s="230">
        <v>2.0099999999999998</v>
      </c>
      <c r="L104" s="230">
        <v>2.0099999999999998</v>
      </c>
      <c r="M104" s="230"/>
      <c r="N104" s="230"/>
      <c r="O104" s="277"/>
    </row>
    <row r="105" spans="1:15" s="87" customFormat="1" x14ac:dyDescent="0.3">
      <c r="A105" s="98"/>
      <c r="B105" s="98"/>
      <c r="C105" s="196"/>
      <c r="D105" s="234" t="str">
        <f xml:space="preserve"> Analysis!D$64</f>
        <v>BCR incl. non-road benefits</v>
      </c>
      <c r="E105" s="29"/>
      <c r="F105" s="234">
        <f xml:space="preserve"> Analysis!F$64</f>
        <v>2.8143826138201402</v>
      </c>
      <c r="G105" s="234" t="str">
        <f xml:space="preserve"> Analysis!G$64</f>
        <v>ratio</v>
      </c>
      <c r="H105" s="277"/>
      <c r="I105" s="230">
        <v>2.8143826138201402</v>
      </c>
      <c r="J105" s="230">
        <v>2.7339443524381259</v>
      </c>
      <c r="K105" s="230">
        <v>2.8948208752021545</v>
      </c>
      <c r="L105" s="230">
        <v>2.4055950139760798</v>
      </c>
      <c r="M105" s="230"/>
      <c r="N105" s="230"/>
      <c r="O105" s="277"/>
    </row>
    <row r="106" spans="1:15" s="87" customFormat="1" x14ac:dyDescent="0.3">
      <c r="A106" s="98"/>
      <c r="B106" s="98"/>
      <c r="C106" s="196"/>
      <c r="E106" s="29"/>
      <c r="H106" s="277"/>
      <c r="I106" s="229"/>
      <c r="J106" s="229"/>
      <c r="K106" s="229"/>
      <c r="L106" s="229"/>
      <c r="M106" s="229"/>
      <c r="N106" s="229"/>
      <c r="O106" s="277"/>
    </row>
    <row r="107" spans="1:15" s="8" customFormat="1" x14ac:dyDescent="0.3">
      <c r="A107" s="41"/>
      <c r="B107" s="41"/>
      <c r="C107" s="43"/>
      <c r="D107" s="235" t="str">
        <f xml:space="preserve"> Analysis!D$68</f>
        <v>IRR excl. non-road benefits</v>
      </c>
      <c r="E107" s="29"/>
      <c r="F107" s="235">
        <f xml:space="preserve"> Analysis!F$68</f>
        <v>0.12370642350448269</v>
      </c>
      <c r="G107" s="235" t="str">
        <f xml:space="preserve"> Analysis!G$68</f>
        <v>% p.a. real</v>
      </c>
      <c r="H107" s="247"/>
      <c r="I107" s="231">
        <v>0.12370642350448269</v>
      </c>
      <c r="J107" s="231">
        <v>0.12370642350448269</v>
      </c>
      <c r="K107" s="231">
        <v>0.12370642350448269</v>
      </c>
      <c r="L107" s="231">
        <v>0.12370642350448269</v>
      </c>
      <c r="M107" s="231"/>
      <c r="N107" s="231"/>
      <c r="O107" s="247"/>
    </row>
    <row r="108" spans="1:15" s="8" customFormat="1" x14ac:dyDescent="0.3">
      <c r="A108" s="41"/>
      <c r="B108" s="41"/>
      <c r="C108" s="43"/>
      <c r="D108" s="235" t="str">
        <f xml:space="preserve"> Analysis!D$71</f>
        <v>IRR incl. non-road benefits</v>
      </c>
      <c r="E108" s="29"/>
      <c r="F108" s="235">
        <f xml:space="preserve"> Analysis!F$71</f>
        <v>0.20244643105846327</v>
      </c>
      <c r="G108" s="235" t="str">
        <f xml:space="preserve"> Analysis!G$71</f>
        <v>% p.a. real</v>
      </c>
      <c r="H108" s="247"/>
      <c r="I108" s="231">
        <v>0.20244643105846327</v>
      </c>
      <c r="J108" s="231">
        <v>0.19506500282577899</v>
      </c>
      <c r="K108" s="231">
        <v>0.2097369468709982</v>
      </c>
      <c r="L108" s="231">
        <v>0.16389542505308552</v>
      </c>
      <c r="M108" s="231"/>
      <c r="N108" s="231"/>
      <c r="O108" s="247"/>
    </row>
    <row r="109" spans="1:15" s="8" customFormat="1" x14ac:dyDescent="0.3">
      <c r="A109" s="41"/>
      <c r="B109" s="41"/>
      <c r="C109" s="43"/>
      <c r="D109" s="236"/>
      <c r="E109" s="29"/>
      <c r="F109" s="236"/>
      <c r="G109" s="236"/>
      <c r="H109" s="247"/>
      <c r="I109" s="232"/>
      <c r="J109" s="232"/>
      <c r="K109" s="232"/>
      <c r="L109" s="232"/>
      <c r="M109" s="232"/>
      <c r="N109" s="232"/>
      <c r="O109" s="247"/>
    </row>
    <row r="110" spans="1:15" s="8" customFormat="1" x14ac:dyDescent="0.3">
      <c r="A110" s="41"/>
      <c r="B110" s="41"/>
      <c r="C110" s="43"/>
      <c r="D110" s="19" t="str">
        <f xml:space="preserve"> Analysis!D$86</f>
        <v>NPV excl. non-road benefits</v>
      </c>
      <c r="E110" s="29"/>
      <c r="F110" s="19">
        <f xml:space="preserve"> Analysis!F$86</f>
        <v>3540959.5206298791</v>
      </c>
      <c r="G110" s="19" t="str">
        <f xml:space="preserve"> Analysis!G$86</f>
        <v>AUD</v>
      </c>
      <c r="H110" s="247"/>
      <c r="I110" s="171">
        <v>3540959.5206298791</v>
      </c>
      <c r="J110" s="171">
        <v>3540959.5206298791</v>
      </c>
      <c r="K110" s="171">
        <v>3540959.5206298791</v>
      </c>
      <c r="L110" s="171">
        <v>3540959.5206298791</v>
      </c>
      <c r="M110" s="171"/>
      <c r="N110" s="171"/>
      <c r="O110" s="247"/>
    </row>
    <row r="111" spans="1:15" s="8" customFormat="1" x14ac:dyDescent="0.3">
      <c r="A111" s="41"/>
      <c r="B111" s="41"/>
      <c r="C111" s="43"/>
      <c r="D111" s="19" t="str">
        <f xml:space="preserve"> Analysis!D$90</f>
        <v>NPV incl. non-road benefits</v>
      </c>
      <c r="E111" s="29"/>
      <c r="F111" s="19">
        <f xml:space="preserve"> Analysis!F$90</f>
        <v>7987855.1402113531</v>
      </c>
      <c r="G111" s="19" t="str">
        <f xml:space="preserve"> Analysis!G$90</f>
        <v>AUD</v>
      </c>
      <c r="H111" s="247"/>
      <c r="I111" s="171">
        <v>7987855.1402113531</v>
      </c>
      <c r="J111" s="171">
        <v>7543165.5782532049</v>
      </c>
      <c r="K111" s="171">
        <v>8432544.7021695022</v>
      </c>
      <c r="L111" s="171">
        <v>5727940.8210136956</v>
      </c>
      <c r="M111" s="171"/>
      <c r="N111" s="171"/>
      <c r="O111" s="247"/>
    </row>
    <row r="112" spans="1:15" s="8" customFormat="1" x14ac:dyDescent="0.3">
      <c r="A112" s="41"/>
      <c r="B112" s="41"/>
      <c r="C112" s="43"/>
      <c r="E112" s="317"/>
      <c r="H112" s="247"/>
      <c r="I112" s="171"/>
      <c r="J112" s="171"/>
      <c r="K112" s="171"/>
      <c r="L112" s="171"/>
      <c r="M112" s="171"/>
      <c r="N112" s="171"/>
      <c r="O112" s="247"/>
    </row>
    <row r="113" spans="1:15" s="8" customFormat="1" x14ac:dyDescent="0.3">
      <c r="A113" s="41"/>
      <c r="B113" s="41"/>
      <c r="C113" s="43"/>
      <c r="D113" s="236" t="str">
        <f xml:space="preserve"> Analysis!D$75</f>
        <v>PV discount date (date to which values are discounted)</v>
      </c>
      <c r="E113" s="29"/>
      <c r="F113" s="236">
        <f xml:space="preserve"> Analysis!F$75</f>
        <v>44926</v>
      </c>
      <c r="G113" s="236" t="str">
        <f xml:space="preserve"> Analysis!G$75</f>
        <v>date</v>
      </c>
      <c r="H113" s="247"/>
      <c r="I113" s="232">
        <v>44926</v>
      </c>
      <c r="J113" s="232">
        <v>44926</v>
      </c>
      <c r="K113" s="232">
        <v>44926</v>
      </c>
      <c r="L113" s="232">
        <v>44926</v>
      </c>
      <c r="M113" s="232"/>
      <c r="N113" s="232"/>
      <c r="O113" s="247"/>
    </row>
    <row r="114" spans="1:15" s="264" customFormat="1" x14ac:dyDescent="0.3">
      <c r="A114" s="262"/>
      <c r="B114" s="262"/>
      <c r="C114" s="263"/>
      <c r="D114" s="245" t="str">
        <f xml:space="preserve"> Analysis!D$80</f>
        <v>PV discount rate - in unflated (ie excl inflation) terms</v>
      </c>
      <c r="E114" s="29"/>
      <c r="F114" s="245">
        <f xml:space="preserve"> Analysis!F$80</f>
        <v>0.05</v>
      </c>
      <c r="G114" s="245" t="str">
        <f xml:space="preserve"> Analysis!G$80</f>
        <v>p.a. real</v>
      </c>
      <c r="H114" s="278"/>
      <c r="I114" s="283">
        <v>0.05</v>
      </c>
      <c r="J114" s="283">
        <v>0.05</v>
      </c>
      <c r="K114" s="283">
        <v>0.05</v>
      </c>
      <c r="L114" s="283">
        <v>0.05</v>
      </c>
      <c r="M114" s="283"/>
      <c r="N114" s="283"/>
      <c r="O114" s="278"/>
    </row>
    <row r="115" spans="1:15" s="56" customFormat="1" x14ac:dyDescent="0.3">
      <c r="A115" s="242"/>
      <c r="B115" s="242"/>
      <c r="C115" s="243"/>
      <c r="D115" s="244"/>
      <c r="E115" s="29"/>
      <c r="F115" s="244"/>
      <c r="G115" s="244"/>
      <c r="H115" s="279"/>
      <c r="I115" s="244"/>
      <c r="J115" s="244"/>
      <c r="K115" s="244"/>
      <c r="L115" s="244"/>
      <c r="M115" s="244"/>
      <c r="N115" s="244"/>
      <c r="O115" s="279"/>
    </row>
    <row r="116" spans="1:15" x14ac:dyDescent="0.3">
      <c r="A116" s="1" t="s">
        <v>27</v>
      </c>
    </row>
  </sheetData>
  <phoneticPr fontId="4" type="noConversion"/>
  <dataValidations count="4">
    <dataValidation type="list" allowBlank="1" showInputMessage="1" showErrorMessage="1" sqref="D6:E6" xr:uid="{E9A27DDC-8617-44FC-A369-508EFF6BC280}">
      <formula1>Case_list</formula1>
    </dataValidation>
    <dataValidation type="list" allowBlank="1" showInputMessage="1" showErrorMessage="1" sqref="I21:N22 I24:N24" xr:uid="{5C7144F2-8784-4D10-BF02-348AD065D717}">
      <formula1>Crop_and_fruit_list</formula1>
    </dataValidation>
    <dataValidation type="list" allowBlank="1" showInputMessage="1" showErrorMessage="1" sqref="I27:N27" xr:uid="{521B7F2C-CDD5-40BE-A199-B530C60835D3}">
      <formula1>Livestock_list</formula1>
    </dataValidation>
    <dataValidation allowBlank="1" showInputMessage="1" showErrorMessage="1" sqref="D29:E30" xr:uid="{04217D8F-584A-4D78-A6B1-5A7C339F8945}"/>
  </dataValidations>
  <pageMargins left="0.70866141732283472" right="0.70866141732283472" top="0.74803149606299213" bottom="0.74803149606299213" header="0.31496062992125984" footer="0.31496062992125984"/>
  <pageSetup paperSize="9" scale="55" orientation="landscape"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B5846-E8D4-47A7-AAEA-5085C38DB2FC}">
  <dimension ref="A1:J216"/>
  <sheetViews>
    <sheetView zoomScale="80" zoomScaleNormal="80" workbookViewId="0">
      <pane ySplit="2" topLeftCell="A3" activePane="bottomLeft" state="frozen"/>
      <selection pane="bottomLeft" activeCell="A3" sqref="A3"/>
    </sheetView>
  </sheetViews>
  <sheetFormatPr defaultColWidth="8.88671875" defaultRowHeight="14.4" x14ac:dyDescent="0.3"/>
  <cols>
    <col min="1" max="1" width="1.5546875" customWidth="1"/>
    <col min="2" max="2" width="1.5546875" style="1" customWidth="1"/>
    <col min="3" max="3" width="1.5546875" style="175" customWidth="1"/>
    <col min="4" max="4" width="60.88671875" customWidth="1"/>
    <col min="5" max="5" width="4.5546875" style="9" customWidth="1"/>
    <col min="6" max="6" width="16.88671875" style="127" customWidth="1"/>
    <col min="7" max="9" width="16.88671875" customWidth="1"/>
    <col min="10" max="10" width="20.44140625" customWidth="1"/>
  </cols>
  <sheetData>
    <row r="1" spans="1:9" ht="24.6" x14ac:dyDescent="0.3">
      <c r="A1" s="32" t="str">
        <f ca="1" xml:space="preserve"> RIGHT(CELL("filename", A1), LEN(CELL("filename", A1)) - SEARCH("]", CELL("filename", A1)))</f>
        <v>Other inputs</v>
      </c>
      <c r="C1" s="174"/>
      <c r="F1" s="289" t="str">
        <f xml:space="preserve"> "Active case: " &amp; 'Key inputs &amp; outputs'!$F$8</f>
        <v>Active case: Base case</v>
      </c>
      <c r="G1" s="4"/>
      <c r="H1" s="4"/>
      <c r="I1" s="4"/>
    </row>
    <row r="2" spans="1:9" x14ac:dyDescent="0.3">
      <c r="D2" s="53" t="s">
        <v>28</v>
      </c>
      <c r="E2" s="21" t="s">
        <v>29</v>
      </c>
      <c r="F2" s="305" t="s">
        <v>113</v>
      </c>
      <c r="H2" s="28"/>
    </row>
    <row r="3" spans="1:9" x14ac:dyDescent="0.3">
      <c r="H3" s="28"/>
    </row>
    <row r="4" spans="1:9" x14ac:dyDescent="0.3">
      <c r="B4" s="1" t="s">
        <v>114</v>
      </c>
      <c r="H4" s="28"/>
    </row>
    <row r="5" spans="1:9" s="48" customFormat="1" x14ac:dyDescent="0.3">
      <c r="B5" s="49"/>
      <c r="C5" s="177"/>
      <c r="D5" s="47" t="s">
        <v>115</v>
      </c>
      <c r="E5" s="10"/>
      <c r="F5" s="14">
        <v>0.7</v>
      </c>
      <c r="G5" s="48" t="s">
        <v>116</v>
      </c>
      <c r="H5" s="47"/>
      <c r="I5" s="47"/>
    </row>
    <row r="6" spans="1:9" s="132" customFormat="1" x14ac:dyDescent="0.3">
      <c r="B6" s="131"/>
      <c r="C6" s="179"/>
      <c r="D6" s="133" t="s">
        <v>117</v>
      </c>
      <c r="E6" s="38">
        <f xml:space="preserve"> 'References &amp; Notes'!B$4</f>
        <v>1</v>
      </c>
      <c r="F6" s="134">
        <v>1.0317499999999999</v>
      </c>
      <c r="G6" s="132" t="s">
        <v>118</v>
      </c>
      <c r="H6" s="248"/>
      <c r="I6" s="133"/>
    </row>
    <row r="7" spans="1:9" s="132" customFormat="1" x14ac:dyDescent="0.3">
      <c r="B7" s="131"/>
      <c r="C7" s="179"/>
      <c r="D7" s="133" t="s">
        <v>119</v>
      </c>
      <c r="E7" s="38">
        <f xml:space="preserve"> 'References &amp; Notes'!B$4</f>
        <v>1</v>
      </c>
      <c r="F7" s="134">
        <v>1.3672500000000001</v>
      </c>
      <c r="G7" s="132" t="s">
        <v>118</v>
      </c>
      <c r="H7" s="135"/>
      <c r="I7" s="133"/>
    </row>
    <row r="8" spans="1:9" s="46" customFormat="1" x14ac:dyDescent="0.3">
      <c r="C8" s="188"/>
      <c r="D8" s="16" t="s">
        <v>120</v>
      </c>
      <c r="E8" s="9"/>
      <c r="F8" s="168">
        <v>365</v>
      </c>
      <c r="G8" s="16" t="s">
        <v>106</v>
      </c>
      <c r="H8" s="47"/>
    </row>
    <row r="9" spans="1:9" s="48" customFormat="1" x14ac:dyDescent="0.3">
      <c r="B9" s="49"/>
      <c r="C9" s="177"/>
      <c r="D9" s="47"/>
      <c r="E9" s="10"/>
      <c r="F9" s="45"/>
      <c r="H9" s="47"/>
      <c r="I9" s="47"/>
    </row>
    <row r="10" spans="1:9" s="46" customFormat="1" x14ac:dyDescent="0.3">
      <c r="B10" s="46" t="s">
        <v>121</v>
      </c>
      <c r="C10" s="188"/>
      <c r="E10" s="10"/>
      <c r="F10" s="47"/>
      <c r="H10" s="47"/>
    </row>
    <row r="11" spans="1:9" s="46" customFormat="1" x14ac:dyDescent="0.3">
      <c r="C11" s="188"/>
      <c r="D11" s="47" t="s">
        <v>122</v>
      </c>
      <c r="E11" s="10"/>
      <c r="F11" s="14">
        <v>2</v>
      </c>
      <c r="G11" s="48" t="s">
        <v>123</v>
      </c>
      <c r="H11" s="47"/>
    </row>
    <row r="12" spans="1:9" s="46" customFormat="1" x14ac:dyDescent="0.3">
      <c r="C12" s="188"/>
      <c r="D12" s="47" t="s">
        <v>124</v>
      </c>
      <c r="E12" s="10"/>
      <c r="F12" s="14">
        <f>8/100</f>
        <v>0.08</v>
      </c>
      <c r="G12" s="48" t="s">
        <v>125</v>
      </c>
      <c r="H12" s="47"/>
    </row>
    <row r="13" spans="1:9" s="46" customFormat="1" x14ac:dyDescent="0.3">
      <c r="C13" s="188"/>
      <c r="D13" s="47" t="s">
        <v>126</v>
      </c>
      <c r="E13" s="10"/>
      <c r="F13" s="14">
        <v>1.5</v>
      </c>
      <c r="G13" s="48" t="s">
        <v>127</v>
      </c>
      <c r="H13" s="47"/>
    </row>
    <row r="14" spans="1:9" s="46" customFormat="1" x14ac:dyDescent="0.3">
      <c r="C14" s="188"/>
      <c r="E14" s="10"/>
      <c r="F14" s="47"/>
      <c r="H14" s="47"/>
    </row>
    <row r="15" spans="1:9" s="15" customFormat="1" x14ac:dyDescent="0.3">
      <c r="B15" s="15" t="s">
        <v>128</v>
      </c>
      <c r="C15" s="174"/>
      <c r="E15" s="10"/>
      <c r="F15" s="10"/>
      <c r="H15" s="10"/>
    </row>
    <row r="16" spans="1:9" s="15" customFormat="1" x14ac:dyDescent="0.3">
      <c r="C16" s="174"/>
      <c r="D16" s="159" t="s">
        <v>129</v>
      </c>
      <c r="E16" s="159"/>
      <c r="F16" s="10"/>
      <c r="H16" s="10"/>
    </row>
    <row r="17" spans="2:8" s="15" customFormat="1" x14ac:dyDescent="0.3">
      <c r="C17" s="174"/>
      <c r="D17" s="159"/>
      <c r="E17" s="159"/>
      <c r="F17" s="10"/>
      <c r="H17" s="10"/>
    </row>
    <row r="18" spans="2:8" s="135" customFormat="1" x14ac:dyDescent="0.3">
      <c r="B18" s="136"/>
      <c r="C18" s="137"/>
      <c r="D18" s="135" t="str">
        <f xml:space="preserve"> D$7</f>
        <v>Inflation (1 AUD in 2007 vs 1 AUD in 2021)</v>
      </c>
      <c r="E18" s="19"/>
      <c r="F18" s="135">
        <f xml:space="preserve"> F$7</f>
        <v>1.3672500000000001</v>
      </c>
      <c r="G18" s="135" t="str">
        <f xml:space="preserve"> G$7</f>
        <v>index</v>
      </c>
      <c r="H18" s="137"/>
    </row>
    <row r="19" spans="2:8" s="23" customFormat="1" x14ac:dyDescent="0.3">
      <c r="C19" s="180"/>
      <c r="D19" s="27" t="s">
        <v>130</v>
      </c>
      <c r="E19" s="38">
        <f xml:space="preserve"> 'References &amp; Notes'!B$5</f>
        <v>2</v>
      </c>
      <c r="F19" s="249" t="s">
        <v>131</v>
      </c>
      <c r="G19" s="249" t="s">
        <v>132</v>
      </c>
      <c r="H19"/>
    </row>
    <row r="20" spans="2:8" s="23" customFormat="1" x14ac:dyDescent="0.3">
      <c r="C20" s="180"/>
      <c r="D20" s="23" t="s">
        <v>133</v>
      </c>
      <c r="E20" s="19"/>
      <c r="F20" s="80" t="s">
        <v>134</v>
      </c>
      <c r="G20" s="80" t="s">
        <v>134</v>
      </c>
      <c r="H20"/>
    </row>
    <row r="21" spans="2:8" x14ac:dyDescent="0.3">
      <c r="D21" s="10" t="s">
        <v>135</v>
      </c>
      <c r="E21" s="10"/>
      <c r="F21" s="138">
        <v>4.5</v>
      </c>
      <c r="G21" s="139">
        <f t="shared" ref="G21:G28" si="0">F21*$F$18</f>
        <v>6.1526250000000005</v>
      </c>
    </row>
    <row r="22" spans="2:8" x14ac:dyDescent="0.3">
      <c r="D22" s="10" t="s">
        <v>136</v>
      </c>
      <c r="E22" s="10"/>
      <c r="F22" s="138">
        <v>4.5999999999999996</v>
      </c>
      <c r="G22" s="127">
        <f t="shared" si="0"/>
        <v>6.2893499999999998</v>
      </c>
    </row>
    <row r="23" spans="2:8" x14ac:dyDescent="0.3">
      <c r="D23" s="10" t="s">
        <v>137</v>
      </c>
      <c r="E23" s="10"/>
      <c r="F23" s="138">
        <v>8.6</v>
      </c>
      <c r="G23" s="127">
        <f t="shared" si="0"/>
        <v>11.75835</v>
      </c>
    </row>
    <row r="24" spans="2:8" x14ac:dyDescent="0.3">
      <c r="D24" s="10" t="s">
        <v>138</v>
      </c>
      <c r="E24" s="10"/>
      <c r="F24" s="138">
        <v>8.6</v>
      </c>
      <c r="G24" s="127">
        <f t="shared" si="0"/>
        <v>11.75835</v>
      </c>
    </row>
    <row r="25" spans="2:8" x14ac:dyDescent="0.3">
      <c r="D25" s="9" t="s">
        <v>139</v>
      </c>
      <c r="F25" s="138">
        <v>16.600000000000001</v>
      </c>
      <c r="G25" s="127">
        <f t="shared" si="0"/>
        <v>22.696350000000002</v>
      </c>
    </row>
    <row r="26" spans="2:8" x14ac:dyDescent="0.3">
      <c r="D26" s="9" t="s">
        <v>140</v>
      </c>
      <c r="F26" s="138">
        <v>20.6</v>
      </c>
      <c r="G26" s="127">
        <f t="shared" si="0"/>
        <v>28.165350000000004</v>
      </c>
    </row>
    <row r="27" spans="2:8" x14ac:dyDescent="0.3">
      <c r="D27" s="9" t="s">
        <v>141</v>
      </c>
      <c r="F27" s="138">
        <v>22</v>
      </c>
      <c r="G27" s="127">
        <f t="shared" si="0"/>
        <v>30.079500000000003</v>
      </c>
    </row>
    <row r="28" spans="2:8" x14ac:dyDescent="0.3">
      <c r="D28" s="9" t="s">
        <v>142</v>
      </c>
      <c r="F28" s="138">
        <v>28.2</v>
      </c>
      <c r="G28" s="127">
        <f t="shared" si="0"/>
        <v>38.556449999999998</v>
      </c>
    </row>
    <row r="30" spans="2:8" s="46" customFormat="1" x14ac:dyDescent="0.3">
      <c r="B30" s="46" t="s">
        <v>143</v>
      </c>
      <c r="C30" s="188"/>
      <c r="E30" s="10"/>
      <c r="F30" s="47"/>
      <c r="H30" s="47"/>
    </row>
    <row r="31" spans="2:8" s="46" customFormat="1" x14ac:dyDescent="0.3">
      <c r="C31" s="188"/>
      <c r="D31" s="47" t="s">
        <v>144</v>
      </c>
      <c r="E31" s="10"/>
      <c r="F31" s="14">
        <v>39.1</v>
      </c>
      <c r="G31" s="48" t="s">
        <v>145</v>
      </c>
      <c r="H31" s="47"/>
    </row>
    <row r="32" spans="2:8" s="46" customFormat="1" x14ac:dyDescent="0.3">
      <c r="C32" s="188"/>
      <c r="D32" s="47" t="s">
        <v>146</v>
      </c>
      <c r="E32" s="10"/>
      <c r="F32" s="14">
        <v>2</v>
      </c>
      <c r="G32" s="48" t="s">
        <v>147</v>
      </c>
      <c r="H32" s="47"/>
    </row>
    <row r="33" spans="2:8" s="46" customFormat="1" x14ac:dyDescent="0.3">
      <c r="C33" s="188"/>
      <c r="E33" s="10"/>
      <c r="F33" s="47"/>
      <c r="H33" s="47"/>
    </row>
    <row r="34" spans="2:8" s="46" customFormat="1" x14ac:dyDescent="0.3">
      <c r="C34" s="188"/>
      <c r="D34" s="48" t="s">
        <v>148</v>
      </c>
      <c r="E34" s="9"/>
      <c r="F34" s="14">
        <f>11.9</f>
        <v>11.9</v>
      </c>
      <c r="G34" s="48" t="s">
        <v>149</v>
      </c>
      <c r="H34" s="47"/>
    </row>
    <row r="35" spans="2:8" s="46" customFormat="1" x14ac:dyDescent="0.3">
      <c r="C35" s="188"/>
      <c r="D35" s="48" t="s">
        <v>150</v>
      </c>
      <c r="E35" s="304">
        <f xml:space="preserve"> 'References &amp; Notes'!B$14</f>
        <v>11</v>
      </c>
      <c r="F35" s="14">
        <f>3.7</f>
        <v>3.7</v>
      </c>
      <c r="G35" s="48" t="s">
        <v>149</v>
      </c>
      <c r="H35" s="47"/>
    </row>
    <row r="36" spans="2:8" s="46" customFormat="1" ht="5.0999999999999996" customHeight="1" x14ac:dyDescent="0.3">
      <c r="C36" s="188"/>
      <c r="D36" s="47"/>
      <c r="F36" s="25"/>
      <c r="G36" s="47"/>
      <c r="H36" s="47"/>
    </row>
    <row r="37" spans="2:8" s="25" customFormat="1" x14ac:dyDescent="0.3">
      <c r="B37" s="53"/>
      <c r="C37" s="182"/>
      <c r="D37" s="25" t="str">
        <f xml:space="preserve"> D$5</f>
        <v>Exchange rate USD to AUD</v>
      </c>
      <c r="F37" s="25">
        <f t="shared" ref="F37:G37" si="1" xml:space="preserve"> F$5</f>
        <v>0.7</v>
      </c>
      <c r="G37" s="25" t="str">
        <f t="shared" si="1"/>
        <v>AUD/USD</v>
      </c>
    </row>
    <row r="38" spans="2:8" s="46" customFormat="1" ht="5.0999999999999996" customHeight="1" x14ac:dyDescent="0.3">
      <c r="C38" s="188"/>
      <c r="D38" s="47"/>
      <c r="E38" s="10"/>
      <c r="F38" s="25"/>
      <c r="G38" s="47"/>
      <c r="H38" s="47"/>
    </row>
    <row r="39" spans="2:8" s="44" customFormat="1" x14ac:dyDescent="0.3">
      <c r="B39" s="53"/>
      <c r="C39" s="182"/>
      <c r="D39" s="25" t="str">
        <f xml:space="preserve"> 'Other inputs'!D$34</f>
        <v>Maintence cost - virgin material</v>
      </c>
      <c r="E39" s="29"/>
      <c r="F39" s="25">
        <f xml:space="preserve"> F34 * F$37</f>
        <v>8.33</v>
      </c>
      <c r="G39" s="48" t="s">
        <v>151</v>
      </c>
    </row>
    <row r="40" spans="2:8" s="44" customFormat="1" x14ac:dyDescent="0.3">
      <c r="B40" s="53"/>
      <c r="C40" s="182"/>
      <c r="D40" s="25" t="str">
        <f xml:space="preserve"> 'Other inputs'!D$35</f>
        <v>Maintence cost - recycled</v>
      </c>
      <c r="F40" s="25">
        <f xml:space="preserve"> F35 * F$37</f>
        <v>2.59</v>
      </c>
      <c r="G40" s="48" t="s">
        <v>151</v>
      </c>
    </row>
    <row r="41" spans="2:8" s="46" customFormat="1" x14ac:dyDescent="0.3">
      <c r="C41" s="188"/>
      <c r="E41" s="10"/>
      <c r="F41" s="47"/>
      <c r="H41" s="47"/>
    </row>
    <row r="42" spans="2:8" s="46" customFormat="1" x14ac:dyDescent="0.3">
      <c r="C42" s="188"/>
      <c r="D42" s="47" t="s">
        <v>152</v>
      </c>
      <c r="E42" s="10"/>
      <c r="F42" s="14">
        <v>1.2</v>
      </c>
      <c r="G42" s="48" t="s">
        <v>153</v>
      </c>
      <c r="H42" s="47"/>
    </row>
    <row r="43" spans="2:8" s="46" customFormat="1" x14ac:dyDescent="0.3">
      <c r="C43" s="188"/>
      <c r="D43" s="7" t="s">
        <v>154</v>
      </c>
      <c r="E43" s="10"/>
      <c r="F43" s="13">
        <v>0.2</v>
      </c>
      <c r="G43" s="6" t="s">
        <v>68</v>
      </c>
      <c r="H43" s="47"/>
    </row>
    <row r="44" spans="2:8" s="46" customFormat="1" x14ac:dyDescent="0.3">
      <c r="C44" s="188"/>
      <c r="E44" s="10"/>
      <c r="F44" s="47"/>
      <c r="H44" s="47"/>
    </row>
    <row r="45" spans="2:8" s="46" customFormat="1" x14ac:dyDescent="0.3">
      <c r="C45" s="188"/>
      <c r="D45" s="16" t="s">
        <v>155</v>
      </c>
      <c r="E45" s="9"/>
      <c r="F45" s="168">
        <v>5</v>
      </c>
      <c r="G45" s="16" t="s">
        <v>156</v>
      </c>
      <c r="H45" s="47"/>
    </row>
    <row r="46" spans="2:8" s="46" customFormat="1" x14ac:dyDescent="0.3">
      <c r="C46" s="188"/>
      <c r="E46" s="10"/>
      <c r="F46" s="47"/>
      <c r="H46" s="47"/>
    </row>
    <row r="47" spans="2:8" s="15" customFormat="1" collapsed="1" x14ac:dyDescent="0.3">
      <c r="B47" s="15" t="s">
        <v>157</v>
      </c>
      <c r="C47" s="174"/>
      <c r="E47" s="10"/>
      <c r="F47" s="10"/>
    </row>
    <row r="48" spans="2:8" s="15" customFormat="1" x14ac:dyDescent="0.3">
      <c r="C48" s="174"/>
      <c r="D48" s="159" t="s">
        <v>129</v>
      </c>
      <c r="E48" s="159"/>
      <c r="F48" s="10"/>
      <c r="H48" s="10"/>
    </row>
    <row r="49" spans="2:8" s="15" customFormat="1" x14ac:dyDescent="0.3">
      <c r="C49" s="174"/>
      <c r="D49" s="159"/>
      <c r="E49" s="159"/>
      <c r="F49" s="10"/>
      <c r="H49" s="10"/>
    </row>
    <row r="50" spans="2:8" s="135" customFormat="1" x14ac:dyDescent="0.3">
      <c r="B50" s="136"/>
      <c r="C50" s="137"/>
      <c r="D50" s="135" t="str">
        <f xml:space="preserve"> D$7</f>
        <v>Inflation (1 AUD in 2007 vs 1 AUD in 2021)</v>
      </c>
      <c r="E50" s="19"/>
      <c r="F50" s="135">
        <f xml:space="preserve"> F$7</f>
        <v>1.3672500000000001</v>
      </c>
      <c r="G50" s="135" t="str">
        <f xml:space="preserve"> G$7</f>
        <v>index</v>
      </c>
      <c r="H50" s="137"/>
    </row>
    <row r="51" spans="2:8" s="19" customFormat="1" x14ac:dyDescent="0.3">
      <c r="B51" s="21"/>
      <c r="C51" s="155"/>
      <c r="D51" s="31" t="s">
        <v>158</v>
      </c>
      <c r="E51" s="38">
        <f xml:space="preserve"> 'References &amp; Notes'!B$5</f>
        <v>2</v>
      </c>
      <c r="F51" s="249" t="s">
        <v>131</v>
      </c>
      <c r="G51" s="249" t="s">
        <v>132</v>
      </c>
    </row>
    <row r="52" spans="2:8" s="23" customFormat="1" x14ac:dyDescent="0.3">
      <c r="C52" s="180"/>
      <c r="D52" s="28" t="s">
        <v>133</v>
      </c>
      <c r="E52" s="19"/>
      <c r="F52" s="81" t="s">
        <v>159</v>
      </c>
      <c r="G52" s="81" t="s">
        <v>159</v>
      </c>
      <c r="H52"/>
    </row>
    <row r="53" spans="2:8" x14ac:dyDescent="0.3">
      <c r="D53" s="16" t="s">
        <v>160</v>
      </c>
      <c r="F53" s="140">
        <v>19.53</v>
      </c>
      <c r="G53" s="141">
        <f t="shared" ref="G53:G68" si="2">F53*$F$50</f>
        <v>26.702392500000002</v>
      </c>
    </row>
    <row r="54" spans="2:8" x14ac:dyDescent="0.3">
      <c r="D54" s="16" t="s">
        <v>161</v>
      </c>
      <c r="F54" s="140">
        <v>18.38</v>
      </c>
      <c r="G54" s="142">
        <f t="shared" si="2"/>
        <v>25.130054999999999</v>
      </c>
    </row>
    <row r="55" spans="2:8" x14ac:dyDescent="0.3">
      <c r="D55" s="16" t="s">
        <v>162</v>
      </c>
      <c r="F55" s="140">
        <v>41.62</v>
      </c>
      <c r="G55" s="142">
        <f t="shared" si="2"/>
        <v>56.904944999999998</v>
      </c>
    </row>
    <row r="56" spans="2:8" x14ac:dyDescent="0.3">
      <c r="D56" s="16" t="s">
        <v>163</v>
      </c>
      <c r="F56" s="140">
        <v>44.81</v>
      </c>
      <c r="G56" s="142">
        <f t="shared" si="2"/>
        <v>61.266472500000006</v>
      </c>
    </row>
    <row r="57" spans="2:8" x14ac:dyDescent="0.3">
      <c r="D57" s="16" t="s">
        <v>164</v>
      </c>
      <c r="F57" s="140">
        <v>29.35</v>
      </c>
      <c r="G57" s="142">
        <f t="shared" si="2"/>
        <v>40.128787500000001</v>
      </c>
    </row>
    <row r="58" spans="2:8" x14ac:dyDescent="0.3">
      <c r="D58" s="16" t="s">
        <v>165</v>
      </c>
      <c r="F58" s="140">
        <v>32.69</v>
      </c>
      <c r="G58" s="142">
        <f t="shared" si="2"/>
        <v>44.6954025</v>
      </c>
    </row>
    <row r="59" spans="2:8" x14ac:dyDescent="0.3">
      <c r="D59" s="16" t="s">
        <v>166</v>
      </c>
      <c r="F59" s="140">
        <v>137.88</v>
      </c>
      <c r="G59" s="142">
        <f t="shared" si="2"/>
        <v>188.51643000000001</v>
      </c>
    </row>
    <row r="60" spans="2:8" x14ac:dyDescent="0.3">
      <c r="D60" s="16" t="s">
        <v>167</v>
      </c>
      <c r="F60" s="140">
        <v>174.3</v>
      </c>
      <c r="G60" s="142">
        <f t="shared" si="2"/>
        <v>238.31167500000004</v>
      </c>
    </row>
    <row r="61" spans="2:8" x14ac:dyDescent="0.3">
      <c r="D61" s="16" t="s">
        <v>168</v>
      </c>
      <c r="F61" s="140">
        <v>38.76</v>
      </c>
      <c r="G61" s="142">
        <f t="shared" si="2"/>
        <v>52.994610000000002</v>
      </c>
    </row>
    <row r="62" spans="2:8" x14ac:dyDescent="0.3">
      <c r="D62" s="16" t="s">
        <v>169</v>
      </c>
      <c r="F62" s="140">
        <v>53.3</v>
      </c>
      <c r="G62" s="142">
        <f t="shared" si="2"/>
        <v>72.874425000000002</v>
      </c>
    </row>
    <row r="63" spans="2:8" x14ac:dyDescent="0.3">
      <c r="D63" s="16" t="s">
        <v>170</v>
      </c>
      <c r="F63" s="140">
        <v>48.4</v>
      </c>
      <c r="G63" s="142">
        <f t="shared" si="2"/>
        <v>66.174900000000008</v>
      </c>
    </row>
    <row r="64" spans="2:8" x14ac:dyDescent="0.3">
      <c r="D64" s="16" t="s">
        <v>171</v>
      </c>
      <c r="F64" s="140">
        <v>73.3</v>
      </c>
      <c r="G64" s="142">
        <f t="shared" si="2"/>
        <v>100.219425</v>
      </c>
    </row>
    <row r="65" spans="2:10" x14ac:dyDescent="0.3">
      <c r="D65" s="16" t="s">
        <v>172</v>
      </c>
      <c r="F65" s="140">
        <v>57.77</v>
      </c>
      <c r="G65" s="142">
        <f t="shared" si="2"/>
        <v>78.986032500000007</v>
      </c>
    </row>
    <row r="66" spans="2:10" x14ac:dyDescent="0.3">
      <c r="D66" s="16" t="s">
        <v>173</v>
      </c>
      <c r="F66" s="140">
        <v>26.11</v>
      </c>
      <c r="G66" s="142">
        <f t="shared" si="2"/>
        <v>35.698897500000001</v>
      </c>
    </row>
    <row r="67" spans="2:10" x14ac:dyDescent="0.3">
      <c r="D67" s="16" t="s">
        <v>174</v>
      </c>
      <c r="F67" s="140">
        <v>73.760000000000005</v>
      </c>
      <c r="G67" s="142">
        <f t="shared" si="2"/>
        <v>100.84836000000001</v>
      </c>
    </row>
    <row r="68" spans="2:10" x14ac:dyDescent="0.3">
      <c r="D68" s="16" t="s">
        <v>175</v>
      </c>
      <c r="F68" s="140">
        <v>25.44</v>
      </c>
      <c r="G68" s="142">
        <f t="shared" si="2"/>
        <v>34.78284</v>
      </c>
    </row>
    <row r="69" spans="2:10" x14ac:dyDescent="0.3">
      <c r="F69"/>
    </row>
    <row r="70" spans="2:10" s="29" customFormat="1" x14ac:dyDescent="0.3">
      <c r="B70" s="49" t="s">
        <v>176</v>
      </c>
      <c r="C70" s="181"/>
      <c r="E70" s="19"/>
    </row>
    <row r="71" spans="2:10" s="29" customFormat="1" x14ac:dyDescent="0.3">
      <c r="B71" s="49" t="s">
        <v>177</v>
      </c>
      <c r="C71" s="181"/>
      <c r="E71" s="19"/>
    </row>
    <row r="72" spans="2:10" s="29" customFormat="1" x14ac:dyDescent="0.3">
      <c r="B72" s="49" t="s">
        <v>178</v>
      </c>
      <c r="C72" s="181"/>
      <c r="E72" s="19"/>
    </row>
    <row r="73" spans="2:10" s="29" customFormat="1" x14ac:dyDescent="0.3">
      <c r="B73" s="49" t="s">
        <v>179</v>
      </c>
      <c r="C73" s="181"/>
      <c r="E73" s="19"/>
    </row>
    <row r="74" spans="2:10" s="29" customFormat="1" x14ac:dyDescent="0.3">
      <c r="B74" s="49" t="s">
        <v>180</v>
      </c>
      <c r="C74" s="181"/>
      <c r="E74" s="19"/>
    </row>
    <row r="75" spans="2:10" s="15" customFormat="1" x14ac:dyDescent="0.3">
      <c r="C75" s="174"/>
      <c r="D75" s="159" t="s">
        <v>129</v>
      </c>
      <c r="E75" s="159"/>
      <c r="F75" s="10"/>
      <c r="H75" s="10"/>
    </row>
    <row r="76" spans="2:10" s="15" customFormat="1" x14ac:dyDescent="0.3">
      <c r="C76" s="174"/>
      <c r="D76" s="159"/>
      <c r="E76" s="159"/>
      <c r="F76" s="10"/>
      <c r="H76" s="10"/>
    </row>
    <row r="77" spans="2:10" s="29" customFormat="1" x14ac:dyDescent="0.3">
      <c r="B77" s="28"/>
      <c r="C77" s="181" t="s">
        <v>181</v>
      </c>
      <c r="E77" s="19"/>
      <c r="F77" s="28"/>
      <c r="G77" s="28"/>
      <c r="H77" s="28"/>
      <c r="I77" s="28"/>
      <c r="J77" s="137"/>
    </row>
    <row r="78" spans="2:10" s="29" customFormat="1" x14ac:dyDescent="0.3">
      <c r="B78" s="28"/>
      <c r="C78" s="181"/>
      <c r="E78" s="38">
        <f xml:space="preserve"> 'References &amp; Notes'!B$5</f>
        <v>2</v>
      </c>
      <c r="F78" s="28" t="s">
        <v>182</v>
      </c>
      <c r="G78" s="28"/>
      <c r="H78" s="28" t="s">
        <v>183</v>
      </c>
      <c r="I78" s="28"/>
    </row>
    <row r="79" spans="2:10" s="29" customFormat="1" x14ac:dyDescent="0.3">
      <c r="B79" s="28"/>
      <c r="C79" s="181"/>
      <c r="E79" s="19"/>
      <c r="F79" s="74" t="s">
        <v>184</v>
      </c>
      <c r="G79" s="74" t="s">
        <v>138</v>
      </c>
      <c r="H79" s="74" t="s">
        <v>184</v>
      </c>
      <c r="I79" s="74" t="s">
        <v>138</v>
      </c>
    </row>
    <row r="80" spans="2:10" s="29" customFormat="1" x14ac:dyDescent="0.3">
      <c r="B80" s="28"/>
      <c r="C80" s="181"/>
      <c r="D80" s="28" t="s">
        <v>131</v>
      </c>
      <c r="E80" s="19"/>
      <c r="F80" s="80" t="s">
        <v>185</v>
      </c>
      <c r="G80" s="80" t="s">
        <v>185</v>
      </c>
      <c r="H80" s="80" t="s">
        <v>185</v>
      </c>
      <c r="I80" s="80" t="s">
        <v>185</v>
      </c>
    </row>
    <row r="81" spans="2:10" s="25" customFormat="1" x14ac:dyDescent="0.3">
      <c r="B81" s="53"/>
      <c r="C81" s="182"/>
      <c r="D81" s="25" t="s">
        <v>186</v>
      </c>
      <c r="E81" s="19"/>
      <c r="F81" s="14">
        <v>2.54</v>
      </c>
      <c r="G81" s="14">
        <v>28.61</v>
      </c>
      <c r="H81" s="14">
        <v>0.03</v>
      </c>
      <c r="I81" s="14">
        <v>0</v>
      </c>
    </row>
    <row r="82" spans="2:10" s="25" customFormat="1" x14ac:dyDescent="0.3">
      <c r="B82" s="53"/>
      <c r="C82" s="182"/>
      <c r="D82" s="25" t="s">
        <v>187</v>
      </c>
      <c r="E82" s="19"/>
      <c r="F82" s="14">
        <v>2</v>
      </c>
      <c r="G82" s="14">
        <v>11.79</v>
      </c>
      <c r="H82" s="14">
        <v>2</v>
      </c>
      <c r="I82" s="14">
        <v>11.79</v>
      </c>
    </row>
    <row r="83" spans="2:10" s="25" customFormat="1" x14ac:dyDescent="0.3">
      <c r="B83" s="53"/>
      <c r="C83" s="182"/>
      <c r="D83" s="25" t="s">
        <v>188</v>
      </c>
      <c r="E83" s="19"/>
      <c r="F83" s="14">
        <v>0.82</v>
      </c>
      <c r="G83" s="14">
        <v>2</v>
      </c>
      <c r="H83" s="14">
        <v>0</v>
      </c>
      <c r="I83" s="14">
        <v>0</v>
      </c>
    </row>
    <row r="84" spans="2:10" s="25" customFormat="1" x14ac:dyDescent="0.3">
      <c r="B84" s="53"/>
      <c r="C84" s="182"/>
      <c r="D84" s="25" t="s">
        <v>189</v>
      </c>
      <c r="E84" s="19"/>
      <c r="F84" s="14">
        <v>0.38</v>
      </c>
      <c r="G84" s="14">
        <v>4.29</v>
      </c>
      <c r="H84" s="14">
        <v>0.04</v>
      </c>
      <c r="I84" s="14">
        <v>0.04</v>
      </c>
    </row>
    <row r="85" spans="2:10" s="25" customFormat="1" x14ac:dyDescent="0.3">
      <c r="B85" s="53"/>
      <c r="C85" s="182"/>
      <c r="D85" s="25" t="s">
        <v>190</v>
      </c>
      <c r="E85" s="19"/>
      <c r="F85" s="14">
        <v>0.05</v>
      </c>
      <c r="G85" s="14">
        <v>0.13</v>
      </c>
      <c r="H85" s="14">
        <v>0.47</v>
      </c>
      <c r="I85" s="14">
        <v>1.3</v>
      </c>
    </row>
    <row r="86" spans="2:10" s="29" customFormat="1" x14ac:dyDescent="0.3">
      <c r="B86" s="28"/>
      <c r="C86" s="181"/>
      <c r="E86" s="19"/>
    </row>
    <row r="87" spans="2:10" s="135" customFormat="1" x14ac:dyDescent="0.3">
      <c r="B87" s="136"/>
      <c r="C87" s="137"/>
      <c r="D87" s="135" t="str">
        <f xml:space="preserve"> D$7</f>
        <v>Inflation (1 AUD in 2007 vs 1 AUD in 2021)</v>
      </c>
      <c r="E87" s="19"/>
      <c r="F87" s="135">
        <f xml:space="preserve"> F$7</f>
        <v>1.3672500000000001</v>
      </c>
      <c r="G87" s="135" t="str">
        <f xml:space="preserve"> G$7</f>
        <v>index</v>
      </c>
      <c r="H87" s="137"/>
    </row>
    <row r="88" spans="2:10" s="135" customFormat="1" x14ac:dyDescent="0.3">
      <c r="B88" s="136"/>
      <c r="C88" s="137"/>
      <c r="D88" s="28" t="s">
        <v>132</v>
      </c>
      <c r="E88" s="19"/>
      <c r="F88" s="80" t="s">
        <v>185</v>
      </c>
      <c r="G88" s="80" t="s">
        <v>185</v>
      </c>
      <c r="H88" s="80" t="s">
        <v>185</v>
      </c>
      <c r="I88" s="80" t="s">
        <v>185</v>
      </c>
    </row>
    <row r="89" spans="2:10" s="25" customFormat="1" x14ac:dyDescent="0.3">
      <c r="B89" s="53"/>
      <c r="C89" s="182"/>
      <c r="D89" s="25" t="s">
        <v>186</v>
      </c>
      <c r="E89" s="19"/>
      <c r="F89" s="30">
        <f t="shared" ref="F89:I93" si="3">F81*$F$87</f>
        <v>3.4728150000000002</v>
      </c>
      <c r="G89" s="25">
        <f t="shared" si="3"/>
        <v>39.117022500000004</v>
      </c>
      <c r="H89" s="25">
        <f t="shared" si="3"/>
        <v>4.1017499999999998E-2</v>
      </c>
      <c r="I89" s="25">
        <f t="shared" si="3"/>
        <v>0</v>
      </c>
    </row>
    <row r="90" spans="2:10" s="25" customFormat="1" x14ac:dyDescent="0.3">
      <c r="B90" s="53"/>
      <c r="C90" s="182"/>
      <c r="D90" s="25" t="s">
        <v>187</v>
      </c>
      <c r="E90" s="19"/>
      <c r="F90" s="30">
        <f t="shared" si="3"/>
        <v>2.7345000000000002</v>
      </c>
      <c r="G90" s="25">
        <f t="shared" si="3"/>
        <v>16.119877500000001</v>
      </c>
      <c r="H90" s="25">
        <f t="shared" si="3"/>
        <v>2.7345000000000002</v>
      </c>
      <c r="I90" s="25">
        <f t="shared" si="3"/>
        <v>16.119877500000001</v>
      </c>
    </row>
    <row r="91" spans="2:10" s="25" customFormat="1" x14ac:dyDescent="0.3">
      <c r="B91" s="53"/>
      <c r="C91" s="182"/>
      <c r="D91" s="25" t="s">
        <v>188</v>
      </c>
      <c r="E91" s="19"/>
      <c r="F91" s="30">
        <f t="shared" si="3"/>
        <v>1.1211450000000001</v>
      </c>
      <c r="G91" s="25">
        <f t="shared" si="3"/>
        <v>2.7345000000000002</v>
      </c>
      <c r="H91" s="25">
        <f t="shared" si="3"/>
        <v>0</v>
      </c>
      <c r="I91" s="25">
        <f t="shared" si="3"/>
        <v>0</v>
      </c>
    </row>
    <row r="92" spans="2:10" s="25" customFormat="1" x14ac:dyDescent="0.3">
      <c r="B92" s="53"/>
      <c r="C92" s="182"/>
      <c r="D92" s="25" t="s">
        <v>189</v>
      </c>
      <c r="E92" s="19"/>
      <c r="F92" s="30">
        <f t="shared" si="3"/>
        <v>0.51955499999999999</v>
      </c>
      <c r="G92" s="25">
        <f t="shared" si="3"/>
        <v>5.8655025000000007</v>
      </c>
      <c r="H92" s="25">
        <f t="shared" si="3"/>
        <v>5.4690000000000003E-2</v>
      </c>
      <c r="I92" s="25">
        <f t="shared" si="3"/>
        <v>5.4690000000000003E-2</v>
      </c>
    </row>
    <row r="93" spans="2:10" s="25" customFormat="1" x14ac:dyDescent="0.3">
      <c r="B93" s="53"/>
      <c r="C93" s="182"/>
      <c r="D93" s="25" t="s">
        <v>190</v>
      </c>
      <c r="E93" s="19"/>
      <c r="F93" s="30">
        <f t="shared" si="3"/>
        <v>6.8362500000000007E-2</v>
      </c>
      <c r="G93" s="25">
        <f t="shared" si="3"/>
        <v>0.17774250000000003</v>
      </c>
      <c r="H93" s="25">
        <f t="shared" si="3"/>
        <v>0.6426075</v>
      </c>
      <c r="I93" s="25">
        <f t="shared" si="3"/>
        <v>1.7774250000000003</v>
      </c>
    </row>
    <row r="94" spans="2:10" s="29" customFormat="1" x14ac:dyDescent="0.3">
      <c r="B94" s="28"/>
      <c r="C94" s="181"/>
      <c r="E94" s="19"/>
    </row>
    <row r="95" spans="2:10" s="29" customFormat="1" x14ac:dyDescent="0.3">
      <c r="B95" s="28"/>
      <c r="C95" s="181" t="s">
        <v>191</v>
      </c>
      <c r="E95" s="19"/>
      <c r="F95" s="28"/>
      <c r="G95" s="28"/>
      <c r="H95" s="28"/>
      <c r="I95" s="28"/>
      <c r="J95" s="137"/>
    </row>
    <row r="96" spans="2:10" s="29" customFormat="1" x14ac:dyDescent="0.3">
      <c r="B96" s="28"/>
      <c r="C96" s="181"/>
      <c r="E96" s="38">
        <f xml:space="preserve"> 'References &amp; Notes'!B$5</f>
        <v>2</v>
      </c>
      <c r="F96" s="28" t="s">
        <v>182</v>
      </c>
      <c r="G96" s="28"/>
      <c r="H96" s="28" t="s">
        <v>183</v>
      </c>
      <c r="I96" s="28"/>
    </row>
    <row r="97" spans="2:9" s="29" customFormat="1" x14ac:dyDescent="0.3">
      <c r="B97" s="28"/>
      <c r="C97" s="181"/>
      <c r="E97" s="19"/>
      <c r="F97" s="74" t="s">
        <v>192</v>
      </c>
      <c r="G97" s="74" t="s">
        <v>193</v>
      </c>
      <c r="H97" s="74" t="s">
        <v>192</v>
      </c>
      <c r="I97" s="74" t="s">
        <v>193</v>
      </c>
    </row>
    <row r="98" spans="2:9" s="29" customFormat="1" x14ac:dyDescent="0.3">
      <c r="B98" s="28"/>
      <c r="C98" s="181"/>
      <c r="D98" s="28" t="s">
        <v>131</v>
      </c>
      <c r="E98" s="19"/>
      <c r="F98" s="137" t="s">
        <v>194</v>
      </c>
      <c r="G98" s="137" t="s">
        <v>194</v>
      </c>
      <c r="H98" s="137" t="s">
        <v>194</v>
      </c>
      <c r="I98" s="137" t="s">
        <v>194</v>
      </c>
    </row>
    <row r="99" spans="2:9" s="25" customFormat="1" x14ac:dyDescent="0.3">
      <c r="B99" s="53"/>
      <c r="C99" s="182"/>
      <c r="D99" s="25" t="s">
        <v>186</v>
      </c>
      <c r="E99" s="19"/>
      <c r="F99" s="14">
        <v>158.93</v>
      </c>
      <c r="G99" s="14">
        <v>21.19</v>
      </c>
      <c r="H99" s="14">
        <v>0</v>
      </c>
      <c r="I99" s="14">
        <v>0.21</v>
      </c>
    </row>
    <row r="100" spans="2:9" s="25" customFormat="1" x14ac:dyDescent="0.3">
      <c r="B100" s="53"/>
      <c r="C100" s="182"/>
      <c r="D100" s="25" t="s">
        <v>187</v>
      </c>
      <c r="E100" s="19"/>
      <c r="F100" s="14">
        <v>49.5</v>
      </c>
      <c r="G100" s="14">
        <v>4.71</v>
      </c>
      <c r="H100" s="14">
        <v>49.5</v>
      </c>
      <c r="I100" s="14">
        <v>4.71</v>
      </c>
    </row>
    <row r="101" spans="2:9" s="25" customFormat="1" x14ac:dyDescent="0.3">
      <c r="B101" s="53"/>
      <c r="C101" s="182"/>
      <c r="D101" s="25" t="s">
        <v>188</v>
      </c>
      <c r="E101" s="19"/>
      <c r="F101" s="14">
        <v>27.1</v>
      </c>
      <c r="G101" s="14">
        <v>3.54</v>
      </c>
      <c r="H101" s="14">
        <v>0</v>
      </c>
      <c r="I101" s="14">
        <v>0.35</v>
      </c>
    </row>
    <row r="102" spans="2:9" s="25" customFormat="1" x14ac:dyDescent="0.3">
      <c r="B102" s="53"/>
      <c r="C102" s="182"/>
      <c r="D102" s="25" t="s">
        <v>189</v>
      </c>
      <c r="E102" s="19"/>
      <c r="F102" s="14">
        <v>23.84</v>
      </c>
      <c r="G102" s="14">
        <v>3.18</v>
      </c>
      <c r="H102" s="14">
        <v>0.24</v>
      </c>
      <c r="I102" s="14">
        <v>1.27</v>
      </c>
    </row>
    <row r="103" spans="2:9" s="25" customFormat="1" x14ac:dyDescent="0.3">
      <c r="B103" s="53"/>
      <c r="C103" s="182"/>
      <c r="D103" s="25" t="s">
        <v>190</v>
      </c>
      <c r="E103" s="19"/>
      <c r="F103" s="14">
        <v>17.68</v>
      </c>
      <c r="G103" s="14">
        <v>0.35</v>
      </c>
      <c r="H103" s="14">
        <v>0.18</v>
      </c>
      <c r="I103" s="14">
        <v>3.54</v>
      </c>
    </row>
    <row r="104" spans="2:9" s="29" customFormat="1" x14ac:dyDescent="0.3">
      <c r="B104" s="28"/>
      <c r="C104" s="181"/>
      <c r="E104" s="19"/>
    </row>
    <row r="105" spans="2:9" s="135" customFormat="1" x14ac:dyDescent="0.3">
      <c r="B105" s="136"/>
      <c r="C105" s="137"/>
      <c r="D105" s="135" t="str">
        <f xml:space="preserve"> D$7</f>
        <v>Inflation (1 AUD in 2007 vs 1 AUD in 2021)</v>
      </c>
      <c r="E105" s="19"/>
      <c r="F105" s="135">
        <f xml:space="preserve"> F$7</f>
        <v>1.3672500000000001</v>
      </c>
      <c r="G105" s="135" t="str">
        <f xml:space="preserve"> G$7</f>
        <v>index</v>
      </c>
      <c r="H105" s="137"/>
    </row>
    <row r="106" spans="2:9" s="135" customFormat="1" x14ac:dyDescent="0.3">
      <c r="B106" s="136"/>
      <c r="C106" s="137"/>
      <c r="D106" s="28" t="s">
        <v>132</v>
      </c>
      <c r="E106" s="19"/>
      <c r="F106" s="137" t="s">
        <v>194</v>
      </c>
      <c r="G106" s="137" t="s">
        <v>194</v>
      </c>
      <c r="H106" s="137" t="s">
        <v>194</v>
      </c>
      <c r="I106" s="137" t="s">
        <v>194</v>
      </c>
    </row>
    <row r="107" spans="2:9" s="25" customFormat="1" x14ac:dyDescent="0.3">
      <c r="B107" s="53"/>
      <c r="C107" s="182"/>
      <c r="D107" s="25" t="s">
        <v>186</v>
      </c>
      <c r="E107" s="19"/>
      <c r="F107" s="30">
        <f t="shared" ref="F107:I111" si="4">F99*$F$105</f>
        <v>217.29704250000003</v>
      </c>
      <c r="G107" s="25">
        <f t="shared" si="4"/>
        <v>28.972027500000003</v>
      </c>
      <c r="H107" s="25">
        <f t="shared" si="4"/>
        <v>0</v>
      </c>
      <c r="I107" s="25">
        <f t="shared" si="4"/>
        <v>0.2871225</v>
      </c>
    </row>
    <row r="108" spans="2:9" s="25" customFormat="1" x14ac:dyDescent="0.3">
      <c r="B108" s="53"/>
      <c r="C108" s="182"/>
      <c r="D108" s="25" t="s">
        <v>187</v>
      </c>
      <c r="E108" s="19"/>
      <c r="F108" s="30">
        <f t="shared" si="4"/>
        <v>67.678875000000005</v>
      </c>
      <c r="G108" s="25">
        <f t="shared" si="4"/>
        <v>6.4397475000000002</v>
      </c>
      <c r="H108" s="25">
        <f t="shared" si="4"/>
        <v>67.678875000000005</v>
      </c>
      <c r="I108" s="25">
        <f t="shared" si="4"/>
        <v>6.4397475000000002</v>
      </c>
    </row>
    <row r="109" spans="2:9" s="25" customFormat="1" x14ac:dyDescent="0.3">
      <c r="B109" s="53"/>
      <c r="C109" s="182"/>
      <c r="D109" s="25" t="s">
        <v>188</v>
      </c>
      <c r="E109" s="19"/>
      <c r="F109" s="30">
        <f t="shared" si="4"/>
        <v>37.052475000000001</v>
      </c>
      <c r="G109" s="25">
        <f t="shared" si="4"/>
        <v>4.8400650000000001</v>
      </c>
      <c r="H109" s="25">
        <f t="shared" si="4"/>
        <v>0</v>
      </c>
      <c r="I109" s="25">
        <f t="shared" si="4"/>
        <v>0.4785375</v>
      </c>
    </row>
    <row r="110" spans="2:9" s="25" customFormat="1" x14ac:dyDescent="0.3">
      <c r="B110" s="53"/>
      <c r="C110" s="182"/>
      <c r="D110" s="25" t="s">
        <v>189</v>
      </c>
      <c r="E110" s="19"/>
      <c r="F110" s="30">
        <f t="shared" si="4"/>
        <v>32.595240000000004</v>
      </c>
      <c r="G110" s="25">
        <f t="shared" si="4"/>
        <v>4.347855</v>
      </c>
      <c r="H110" s="25">
        <f t="shared" si="4"/>
        <v>0.32813999999999999</v>
      </c>
      <c r="I110" s="25">
        <f t="shared" si="4"/>
        <v>1.7364075000000001</v>
      </c>
    </row>
    <row r="111" spans="2:9" s="25" customFormat="1" x14ac:dyDescent="0.3">
      <c r="B111" s="53"/>
      <c r="C111" s="182"/>
      <c r="D111" s="25" t="s">
        <v>190</v>
      </c>
      <c r="E111" s="19"/>
      <c r="F111" s="30">
        <f t="shared" si="4"/>
        <v>24.172980000000003</v>
      </c>
      <c r="G111" s="25">
        <f t="shared" si="4"/>
        <v>0.4785375</v>
      </c>
      <c r="H111" s="25">
        <f t="shared" si="4"/>
        <v>0.24610500000000002</v>
      </c>
      <c r="I111" s="25">
        <f t="shared" si="4"/>
        <v>4.8400650000000001</v>
      </c>
    </row>
    <row r="112" spans="2:9" s="29" customFormat="1" x14ac:dyDescent="0.3">
      <c r="B112" s="28"/>
      <c r="C112" s="181"/>
      <c r="E112" s="19"/>
    </row>
    <row r="113" spans="2:10" s="29" customFormat="1" x14ac:dyDescent="0.3">
      <c r="B113" s="28"/>
      <c r="C113" s="181" t="s">
        <v>195</v>
      </c>
      <c r="E113" s="19"/>
    </row>
    <row r="114" spans="2:10" s="76" customFormat="1" x14ac:dyDescent="0.3">
      <c r="B114" s="143"/>
      <c r="C114" s="183"/>
      <c r="D114" s="76" t="s">
        <v>196</v>
      </c>
      <c r="E114" s="304">
        <f xml:space="preserve"> 'References &amp; Notes'!B$6</f>
        <v>3</v>
      </c>
    </row>
    <row r="115" spans="2:10" s="76" customFormat="1" x14ac:dyDescent="0.3">
      <c r="B115" s="143"/>
      <c r="C115" s="183"/>
      <c r="D115" s="76" t="s">
        <v>197</v>
      </c>
      <c r="E115" s="304">
        <f xml:space="preserve"> 'References &amp; Notes'!B$7</f>
        <v>4</v>
      </c>
    </row>
    <row r="116" spans="2:10" s="76" customFormat="1" x14ac:dyDescent="0.3">
      <c r="B116" s="143"/>
      <c r="C116" s="183"/>
      <c r="D116" s="76" t="s">
        <v>198</v>
      </c>
      <c r="E116" s="304">
        <f xml:space="preserve"> 'References &amp; Notes'!B$8</f>
        <v>5</v>
      </c>
    </row>
    <row r="117" spans="2:10" s="76" customFormat="1" x14ac:dyDescent="0.3">
      <c r="B117" s="143"/>
      <c r="C117" s="183"/>
      <c r="D117" s="76" t="s">
        <v>199</v>
      </c>
      <c r="E117" s="304">
        <f xml:space="preserve"> 'References &amp; Notes'!B$9</f>
        <v>6</v>
      </c>
    </row>
    <row r="118" spans="2:10" s="76" customFormat="1" x14ac:dyDescent="0.3">
      <c r="B118" s="143"/>
      <c r="C118" s="183"/>
      <c r="D118" s="76" t="s">
        <v>200</v>
      </c>
      <c r="E118" s="304">
        <f xml:space="preserve"> 'References &amp; Notes'!B$10</f>
        <v>7</v>
      </c>
    </row>
    <row r="120" spans="2:10" s="19" customFormat="1" x14ac:dyDescent="0.3">
      <c r="B120" s="15" t="s">
        <v>201</v>
      </c>
      <c r="C120" s="155"/>
      <c r="F120" s="20"/>
      <c r="H120" s="144"/>
      <c r="I120" s="144"/>
    </row>
    <row r="121" spans="2:10" s="135" customFormat="1" x14ac:dyDescent="0.3">
      <c r="B121" s="136"/>
      <c r="C121" s="137"/>
      <c r="D121" s="135" t="str">
        <f xml:space="preserve"> D$6</f>
        <v>Inflation (1 AUD in 2020 vs 1 AUD in 2021)</v>
      </c>
      <c r="E121" s="19"/>
      <c r="F121" s="135">
        <f xml:space="preserve"> F$6</f>
        <v>1.0317499999999999</v>
      </c>
      <c r="G121" s="135" t="str">
        <f xml:space="preserve"> G$6</f>
        <v>index</v>
      </c>
      <c r="H121" s="137"/>
    </row>
    <row r="122" spans="2:10" s="25" customFormat="1" x14ac:dyDescent="0.3">
      <c r="B122" s="53"/>
      <c r="C122" s="182"/>
      <c r="D122" s="25" t="str">
        <f xml:space="preserve"> D$5</f>
        <v>Exchange rate USD to AUD</v>
      </c>
      <c r="F122" s="25">
        <f t="shared" ref="F122:G122" si="5" xml:space="preserve"> F$5</f>
        <v>0.7</v>
      </c>
      <c r="G122" s="25" t="str">
        <f t="shared" si="5"/>
        <v>AUD/USD</v>
      </c>
      <c r="H122" s="182"/>
    </row>
    <row r="123" spans="2:10" s="77" customFormat="1" x14ac:dyDescent="0.3">
      <c r="B123" s="18"/>
      <c r="C123" s="184"/>
      <c r="E123" s="38">
        <f xml:space="preserve"> 'References &amp; Notes'!B$11</f>
        <v>8</v>
      </c>
      <c r="F123" s="78" t="s">
        <v>202</v>
      </c>
      <c r="G123" s="75" t="s">
        <v>203</v>
      </c>
      <c r="H123" s="75" t="s">
        <v>203</v>
      </c>
      <c r="I123" s="75" t="s">
        <v>203</v>
      </c>
    </row>
    <row r="124" spans="2:10" s="77" customFormat="1" x14ac:dyDescent="0.3">
      <c r="B124" s="18"/>
      <c r="C124" s="184"/>
      <c r="D124" s="23"/>
      <c r="E124" s="19"/>
      <c r="F124" s="173" t="s">
        <v>204</v>
      </c>
      <c r="G124" s="173" t="s">
        <v>205</v>
      </c>
      <c r="H124" s="249" t="s">
        <v>132</v>
      </c>
      <c r="I124" s="249" t="s">
        <v>132</v>
      </c>
    </row>
    <row r="125" spans="2:10" s="77" customFormat="1" x14ac:dyDescent="0.3">
      <c r="B125" s="18"/>
      <c r="C125" s="184"/>
      <c r="D125" s="28" t="s">
        <v>132</v>
      </c>
      <c r="E125" s="19"/>
      <c r="F125" s="82" t="s">
        <v>206</v>
      </c>
      <c r="G125" s="82" t="s">
        <v>207</v>
      </c>
      <c r="H125" s="82" t="s">
        <v>207</v>
      </c>
      <c r="I125" s="82" t="s">
        <v>208</v>
      </c>
    </row>
    <row r="126" spans="2:10" s="77" customFormat="1" ht="5.0999999999999996" customHeight="1" x14ac:dyDescent="0.3">
      <c r="B126" s="18"/>
      <c r="C126" s="184"/>
      <c r="D126" s="265"/>
      <c r="E126" s="247"/>
      <c r="F126" s="266"/>
      <c r="G126" s="266"/>
      <c r="H126" s="266"/>
      <c r="I126" s="266"/>
    </row>
    <row r="127" spans="2:10" x14ac:dyDescent="0.3">
      <c r="B127" s="15"/>
      <c r="D127" t="s">
        <v>63</v>
      </c>
      <c r="F127" s="145">
        <v>15.9306</v>
      </c>
      <c r="G127" s="146">
        <v>1420</v>
      </c>
      <c r="H127" s="8">
        <f t="shared" ref="H127:H159" si="6" xml:space="preserve"> G127 * $F$121</f>
        <v>1465.0849999999998</v>
      </c>
      <c r="I127" s="8">
        <f xml:space="preserve"> H127 * $F$122</f>
        <v>1025.5594999999998</v>
      </c>
      <c r="J127" s="9"/>
    </row>
    <row r="128" spans="2:10" x14ac:dyDescent="0.3">
      <c r="B128" s="15"/>
      <c r="D128" t="s">
        <v>209</v>
      </c>
      <c r="F128" s="145">
        <v>4.6569000000000003</v>
      </c>
      <c r="G128" s="146">
        <v>2916.5</v>
      </c>
      <c r="H128" s="9">
        <f t="shared" si="6"/>
        <v>3009.0988749999997</v>
      </c>
      <c r="I128" s="8">
        <f t="shared" ref="I128:I159" si="7" xml:space="preserve"> H128 * $F$122</f>
        <v>2106.3692124999998</v>
      </c>
      <c r="J128" s="9"/>
    </row>
    <row r="129" spans="2:10" x14ac:dyDescent="0.3">
      <c r="B129" s="15"/>
      <c r="D129" t="s">
        <v>210</v>
      </c>
      <c r="F129" s="145">
        <v>30.392800000000001</v>
      </c>
      <c r="G129" s="146">
        <v>1195.8</v>
      </c>
      <c r="H129" s="9">
        <f t="shared" si="6"/>
        <v>1233.7666499999998</v>
      </c>
      <c r="I129" s="8">
        <f t="shared" si="7"/>
        <v>863.63665499999979</v>
      </c>
      <c r="J129" s="9"/>
    </row>
    <row r="130" spans="2:10" x14ac:dyDescent="0.3">
      <c r="B130" s="15"/>
      <c r="D130" t="s">
        <v>211</v>
      </c>
      <c r="F130" s="145">
        <v>2.0089999999999999</v>
      </c>
      <c r="G130" s="146">
        <v>204.3</v>
      </c>
      <c r="H130" s="9">
        <f t="shared" si="6"/>
        <v>210.78652500000001</v>
      </c>
      <c r="I130" s="8">
        <f t="shared" si="7"/>
        <v>147.5505675</v>
      </c>
      <c r="J130" s="9"/>
    </row>
    <row r="131" spans="2:10" x14ac:dyDescent="0.3">
      <c r="B131" s="15"/>
      <c r="D131" t="s">
        <v>212</v>
      </c>
      <c r="F131" s="145">
        <v>5.415</v>
      </c>
      <c r="G131" s="146">
        <v>3130.4</v>
      </c>
      <c r="H131" s="9">
        <f t="shared" si="6"/>
        <v>3229.7901999999999</v>
      </c>
      <c r="I131" s="8">
        <f t="shared" si="7"/>
        <v>2260.8531399999997</v>
      </c>
      <c r="J131" s="9"/>
    </row>
    <row r="132" spans="2:10" x14ac:dyDescent="0.3">
      <c r="B132" s="15"/>
      <c r="D132" t="s">
        <v>213</v>
      </c>
      <c r="F132" s="145">
        <v>2.5540000000000003</v>
      </c>
      <c r="G132" s="146">
        <v>7816.8</v>
      </c>
      <c r="H132" s="9">
        <f t="shared" si="6"/>
        <v>8064.9834000000001</v>
      </c>
      <c r="I132" s="8">
        <f t="shared" si="7"/>
        <v>5645.4883799999998</v>
      </c>
      <c r="J132" s="9"/>
    </row>
    <row r="133" spans="2:10" x14ac:dyDescent="0.3">
      <c r="B133" s="15"/>
      <c r="D133" t="s">
        <v>214</v>
      </c>
      <c r="F133" s="145">
        <v>34.673999999999999</v>
      </c>
      <c r="G133" s="146">
        <v>600.79999999999995</v>
      </c>
      <c r="H133" s="9">
        <f t="shared" si="6"/>
        <v>619.8753999999999</v>
      </c>
      <c r="I133" s="8">
        <f t="shared" si="7"/>
        <v>433.91277999999988</v>
      </c>
      <c r="J133" s="9"/>
    </row>
    <row r="134" spans="2:10" x14ac:dyDescent="0.3">
      <c r="B134" s="15"/>
      <c r="D134" t="s">
        <v>215</v>
      </c>
      <c r="F134" s="145">
        <v>56.942399999999999</v>
      </c>
      <c r="G134" s="146">
        <v>634.4</v>
      </c>
      <c r="H134" s="9">
        <f t="shared" si="6"/>
        <v>654.54219999999998</v>
      </c>
      <c r="I134" s="8">
        <f t="shared" si="7"/>
        <v>458.17953999999997</v>
      </c>
      <c r="J134" s="9"/>
    </row>
    <row r="135" spans="2:10" x14ac:dyDescent="0.3">
      <c r="B135" s="15"/>
      <c r="D135" t="s">
        <v>216</v>
      </c>
      <c r="F135" s="145">
        <v>12.5603</v>
      </c>
      <c r="G135" s="146">
        <v>824</v>
      </c>
      <c r="H135" s="9">
        <f t="shared" si="6"/>
        <v>850.16199999999992</v>
      </c>
      <c r="I135" s="8">
        <f t="shared" si="7"/>
        <v>595.11339999999996</v>
      </c>
      <c r="J135" s="9"/>
    </row>
    <row r="136" spans="2:10" x14ac:dyDescent="0.3">
      <c r="B136" s="15"/>
      <c r="D136" t="s">
        <v>217</v>
      </c>
      <c r="F136" s="145">
        <v>6.8569000000000004</v>
      </c>
      <c r="G136" s="146">
        <v>9679.2999999999993</v>
      </c>
      <c r="H136" s="9">
        <f t="shared" si="6"/>
        <v>9986.6177749999988</v>
      </c>
      <c r="I136" s="8">
        <f t="shared" si="7"/>
        <v>6990.6324424999984</v>
      </c>
      <c r="J136" s="9"/>
    </row>
    <row r="137" spans="2:10" x14ac:dyDescent="0.3">
      <c r="B137" s="15"/>
      <c r="D137" t="s">
        <v>218</v>
      </c>
      <c r="F137" s="145">
        <v>1.0692000000000002</v>
      </c>
      <c r="G137" s="146">
        <v>523.6</v>
      </c>
      <c r="H137" s="9">
        <f t="shared" si="6"/>
        <v>540.22429999999997</v>
      </c>
      <c r="I137" s="8">
        <f t="shared" si="7"/>
        <v>378.15700999999996</v>
      </c>
      <c r="J137" s="9"/>
    </row>
    <row r="138" spans="2:10" x14ac:dyDescent="0.3">
      <c r="B138" s="15"/>
      <c r="D138" t="s">
        <v>219</v>
      </c>
      <c r="F138" s="145">
        <v>21.966699999999999</v>
      </c>
      <c r="G138" s="146">
        <v>1256.2</v>
      </c>
      <c r="H138" s="9">
        <f t="shared" si="6"/>
        <v>1296.0843500000001</v>
      </c>
      <c r="I138" s="8">
        <f t="shared" si="7"/>
        <v>907.25904500000001</v>
      </c>
      <c r="J138" s="9"/>
    </row>
    <row r="139" spans="2:10" x14ac:dyDescent="0.3">
      <c r="B139" s="15"/>
      <c r="D139" t="s">
        <v>64</v>
      </c>
      <c r="F139" s="145">
        <v>7.0912000000000006</v>
      </c>
      <c r="G139" s="146">
        <v>329.8</v>
      </c>
      <c r="H139" s="9">
        <f t="shared" si="6"/>
        <v>340.27114999999998</v>
      </c>
      <c r="I139" s="8">
        <f t="shared" si="7"/>
        <v>238.18980499999998</v>
      </c>
      <c r="J139" s="9"/>
    </row>
    <row r="140" spans="2:10" x14ac:dyDescent="0.3">
      <c r="B140" s="15"/>
      <c r="D140" t="s">
        <v>220</v>
      </c>
      <c r="F140" s="145">
        <v>11.7317</v>
      </c>
      <c r="G140" s="146">
        <v>1375.7</v>
      </c>
      <c r="H140" s="9">
        <f t="shared" si="6"/>
        <v>1419.378475</v>
      </c>
      <c r="I140" s="8">
        <f t="shared" si="7"/>
        <v>993.56493249999994</v>
      </c>
      <c r="J140" s="9"/>
    </row>
    <row r="141" spans="2:10" x14ac:dyDescent="0.3">
      <c r="B141" s="15"/>
      <c r="D141" t="s">
        <v>221</v>
      </c>
      <c r="F141" s="145">
        <v>3.8168000000000002</v>
      </c>
      <c r="G141" s="146">
        <v>1885.7</v>
      </c>
      <c r="H141" s="9">
        <f t="shared" si="6"/>
        <v>1945.5709749999999</v>
      </c>
      <c r="I141" s="8">
        <f t="shared" si="7"/>
        <v>1361.8996824999999</v>
      </c>
      <c r="J141" s="9"/>
    </row>
    <row r="142" spans="2:10" x14ac:dyDescent="0.3">
      <c r="B142" s="15"/>
      <c r="D142" t="s">
        <v>222</v>
      </c>
      <c r="F142" s="145">
        <v>34.001200000000004</v>
      </c>
      <c r="G142" s="146">
        <v>594.4</v>
      </c>
      <c r="H142" s="9">
        <f t="shared" si="6"/>
        <v>613.2722</v>
      </c>
      <c r="I142" s="8">
        <f t="shared" si="7"/>
        <v>429.29053999999996</v>
      </c>
      <c r="J142" s="9"/>
    </row>
    <row r="143" spans="2:10" x14ac:dyDescent="0.3">
      <c r="B143" s="15"/>
      <c r="D143" t="s">
        <v>223</v>
      </c>
      <c r="F143" s="145">
        <v>371.01519999999999</v>
      </c>
      <c r="G143" s="146">
        <v>4813.7</v>
      </c>
      <c r="H143" s="9">
        <f t="shared" si="6"/>
        <v>4966.5349749999996</v>
      </c>
      <c r="I143" s="8">
        <f t="shared" si="7"/>
        <v>3476.5744824999997</v>
      </c>
      <c r="J143" s="9"/>
    </row>
    <row r="144" spans="2:10" x14ac:dyDescent="0.3">
      <c r="B144" s="15"/>
      <c r="D144" t="s">
        <v>224</v>
      </c>
      <c r="F144" s="145">
        <v>1.8648</v>
      </c>
      <c r="G144" s="146">
        <v>4248.1000000000004</v>
      </c>
      <c r="H144" s="9">
        <f t="shared" si="6"/>
        <v>4382.977175</v>
      </c>
      <c r="I144" s="8">
        <f t="shared" si="7"/>
        <v>3068.0840224999997</v>
      </c>
      <c r="J144" s="9"/>
    </row>
    <row r="145" spans="2:10" x14ac:dyDescent="0.3">
      <c r="B145" s="15"/>
      <c r="D145" t="s">
        <v>225</v>
      </c>
      <c r="F145" s="145">
        <v>1.4007000000000001</v>
      </c>
      <c r="G145" s="146">
        <v>255.8</v>
      </c>
      <c r="H145" s="9">
        <f t="shared" si="6"/>
        <v>263.92165</v>
      </c>
      <c r="I145" s="8">
        <f t="shared" si="7"/>
        <v>184.74515499999998</v>
      </c>
      <c r="J145" s="9"/>
    </row>
    <row r="146" spans="2:10" x14ac:dyDescent="0.3">
      <c r="B146" s="15"/>
      <c r="D146" t="s">
        <v>226</v>
      </c>
      <c r="F146" s="145">
        <v>2.3944000000000001</v>
      </c>
      <c r="G146" s="146">
        <v>877.4</v>
      </c>
      <c r="H146" s="9">
        <f t="shared" si="6"/>
        <v>905.25744999999995</v>
      </c>
      <c r="I146" s="8">
        <f t="shared" si="7"/>
        <v>633.68021499999998</v>
      </c>
      <c r="J146" s="9"/>
    </row>
    <row r="147" spans="2:10" x14ac:dyDescent="0.3">
      <c r="B147" s="15"/>
      <c r="D147" t="s">
        <v>227</v>
      </c>
      <c r="F147" s="145">
        <v>54.669499999999999</v>
      </c>
      <c r="G147" s="146">
        <v>432.2</v>
      </c>
      <c r="H147" s="9">
        <f t="shared" si="6"/>
        <v>445.92234999999994</v>
      </c>
      <c r="I147" s="8">
        <f t="shared" si="7"/>
        <v>312.14564499999994</v>
      </c>
      <c r="J147" s="9"/>
    </row>
    <row r="148" spans="2:10" x14ac:dyDescent="0.3">
      <c r="B148" s="15"/>
      <c r="D148" t="s">
        <v>228</v>
      </c>
      <c r="F148" s="145">
        <v>19.481200000000001</v>
      </c>
      <c r="G148" s="146">
        <v>929.8</v>
      </c>
      <c r="H148" s="9">
        <f t="shared" si="6"/>
        <v>959.32114999999988</v>
      </c>
      <c r="I148" s="8">
        <f t="shared" si="7"/>
        <v>671.5248049999999</v>
      </c>
      <c r="J148" s="9"/>
    </row>
    <row r="149" spans="2:10" x14ac:dyDescent="0.3">
      <c r="B149" s="15"/>
      <c r="D149" t="s">
        <v>229</v>
      </c>
      <c r="F149" s="145">
        <v>7.1105</v>
      </c>
      <c r="G149" s="146">
        <v>1665.4</v>
      </c>
      <c r="H149" s="9">
        <f t="shared" si="6"/>
        <v>1718.2764500000001</v>
      </c>
      <c r="I149" s="8">
        <f t="shared" si="7"/>
        <v>1202.7935150000001</v>
      </c>
      <c r="J149" s="9"/>
    </row>
    <row r="150" spans="2:10" x14ac:dyDescent="0.3">
      <c r="B150" s="15"/>
      <c r="D150" t="s">
        <v>230</v>
      </c>
      <c r="F150" s="145">
        <v>17.768700000000003</v>
      </c>
      <c r="G150" s="146">
        <v>559.20000000000005</v>
      </c>
      <c r="H150" s="9">
        <f t="shared" si="6"/>
        <v>576.95460000000003</v>
      </c>
      <c r="I150" s="8">
        <f t="shared" si="7"/>
        <v>403.86822000000001</v>
      </c>
      <c r="J150" s="9"/>
    </row>
    <row r="151" spans="2:10" x14ac:dyDescent="0.3">
      <c r="B151" s="15"/>
      <c r="D151" t="s">
        <v>231</v>
      </c>
      <c r="F151" s="145">
        <v>36.484700000000004</v>
      </c>
      <c r="G151" s="146">
        <v>607.9</v>
      </c>
      <c r="H151" s="9">
        <f t="shared" si="6"/>
        <v>627.2008249999999</v>
      </c>
      <c r="I151" s="8">
        <f t="shared" si="7"/>
        <v>439.04057749999993</v>
      </c>
      <c r="J151" s="9"/>
    </row>
    <row r="152" spans="2:10" x14ac:dyDescent="0.3">
      <c r="B152" s="15"/>
      <c r="D152" t="s">
        <v>232</v>
      </c>
      <c r="F152" s="145">
        <v>39.796700000000001</v>
      </c>
      <c r="G152" s="146">
        <v>416.6</v>
      </c>
      <c r="H152" s="9">
        <f t="shared" si="6"/>
        <v>429.82704999999999</v>
      </c>
      <c r="I152" s="8">
        <f t="shared" si="7"/>
        <v>300.87893499999996</v>
      </c>
      <c r="J152" s="9"/>
    </row>
    <row r="153" spans="2:10" x14ac:dyDescent="0.3">
      <c r="B153" s="15"/>
      <c r="D153" t="s">
        <v>233</v>
      </c>
      <c r="F153" s="145">
        <v>1.1300000000000001</v>
      </c>
      <c r="G153" s="146">
        <v>410.5</v>
      </c>
      <c r="H153" s="9">
        <f t="shared" si="6"/>
        <v>423.53337499999998</v>
      </c>
      <c r="I153" s="8">
        <f t="shared" si="7"/>
        <v>296.47336249999995</v>
      </c>
      <c r="J153" s="9"/>
    </row>
    <row r="154" spans="2:10" x14ac:dyDescent="0.3">
      <c r="B154" s="15"/>
      <c r="D154" t="s">
        <v>234</v>
      </c>
      <c r="F154" s="145">
        <v>10.0312</v>
      </c>
      <c r="G154" s="146">
        <v>529.4</v>
      </c>
      <c r="H154" s="9">
        <f t="shared" si="6"/>
        <v>546.20844999999997</v>
      </c>
      <c r="I154" s="8">
        <f t="shared" si="7"/>
        <v>382.34591499999993</v>
      </c>
      <c r="J154" s="9"/>
    </row>
    <row r="155" spans="2:10" x14ac:dyDescent="0.3">
      <c r="B155" s="15"/>
      <c r="D155" t="s">
        <v>235</v>
      </c>
      <c r="F155" s="145">
        <v>25.2486</v>
      </c>
      <c r="G155" s="146">
        <v>4514.8</v>
      </c>
      <c r="H155" s="9">
        <f t="shared" si="6"/>
        <v>4658.1449000000002</v>
      </c>
      <c r="I155" s="8">
        <f t="shared" si="7"/>
        <v>3260.7014300000001</v>
      </c>
      <c r="J155" s="9"/>
    </row>
    <row r="156" spans="2:10" x14ac:dyDescent="0.3">
      <c r="B156" s="15"/>
      <c r="D156" t="s">
        <v>236</v>
      </c>
      <c r="F156" s="145">
        <v>82.645499999999998</v>
      </c>
      <c r="G156" s="146">
        <v>28.5</v>
      </c>
      <c r="H156" s="9">
        <f t="shared" si="6"/>
        <v>29.404874999999997</v>
      </c>
      <c r="I156" s="8">
        <f t="shared" si="7"/>
        <v>20.583412499999998</v>
      </c>
      <c r="J156" s="9"/>
    </row>
    <row r="157" spans="2:10" x14ac:dyDescent="0.3">
      <c r="B157" s="15"/>
      <c r="D157" t="s">
        <v>237</v>
      </c>
      <c r="F157" s="145">
        <v>23.487100000000002</v>
      </c>
      <c r="G157" s="146">
        <v>1473.2</v>
      </c>
      <c r="H157" s="9">
        <f t="shared" si="6"/>
        <v>1519.9740999999999</v>
      </c>
      <c r="I157" s="8">
        <f t="shared" si="7"/>
        <v>1063.9818699999998</v>
      </c>
      <c r="J157" s="9"/>
    </row>
    <row r="158" spans="2:10" x14ac:dyDescent="0.3">
      <c r="B158" s="15"/>
      <c r="D158" t="s">
        <v>238</v>
      </c>
      <c r="F158" s="145">
        <v>75.944299999999998</v>
      </c>
      <c r="G158" s="146">
        <v>1110.0999999999999</v>
      </c>
      <c r="H158" s="9">
        <f t="shared" si="6"/>
        <v>1145.3456749999998</v>
      </c>
      <c r="I158" s="8">
        <f t="shared" si="7"/>
        <v>801.74197249999986</v>
      </c>
      <c r="J158" s="9"/>
    </row>
    <row r="159" spans="2:10" x14ac:dyDescent="0.3">
      <c r="B159" s="15"/>
      <c r="D159" t="s">
        <v>239</v>
      </c>
      <c r="F159" s="145">
        <v>1.4681</v>
      </c>
      <c r="G159" s="146">
        <v>235.2</v>
      </c>
      <c r="H159" s="9">
        <f t="shared" si="6"/>
        <v>242.66759999999996</v>
      </c>
      <c r="I159" s="8">
        <f t="shared" si="7"/>
        <v>169.86731999999998</v>
      </c>
      <c r="J159" s="9"/>
    </row>
    <row r="160" spans="2:10" s="77" customFormat="1" ht="5.0999999999999996" customHeight="1" x14ac:dyDescent="0.3">
      <c r="B160" s="18"/>
      <c r="C160" s="184"/>
      <c r="D160" s="265"/>
      <c r="E160" s="247"/>
      <c r="F160" s="266"/>
      <c r="G160" s="266"/>
      <c r="H160" s="266"/>
      <c r="I160" s="266"/>
    </row>
    <row r="161" spans="2:9" x14ac:dyDescent="0.3">
      <c r="D161" s="3"/>
      <c r="F161" s="3"/>
      <c r="H161" s="3"/>
      <c r="I161" s="3"/>
    </row>
    <row r="162" spans="2:9" x14ac:dyDescent="0.3">
      <c r="D162" s="87" t="s">
        <v>240</v>
      </c>
      <c r="E162" s="19"/>
      <c r="F162" s="72">
        <v>50</v>
      </c>
      <c r="G162" s="87" t="s">
        <v>241</v>
      </c>
      <c r="H162" s="3"/>
      <c r="I162" s="3"/>
    </row>
    <row r="163" spans="2:9" x14ac:dyDescent="0.3">
      <c r="D163" s="3"/>
      <c r="F163" s="3"/>
      <c r="H163" s="3"/>
      <c r="I163" s="3"/>
    </row>
    <row r="164" spans="2:9" s="48" customFormat="1" x14ac:dyDescent="0.3">
      <c r="B164" s="49" t="s">
        <v>242</v>
      </c>
      <c r="C164" s="177"/>
      <c r="E164" s="9"/>
    </row>
    <row r="165" spans="2:9" x14ac:dyDescent="0.3">
      <c r="D165" s="47" t="s">
        <v>243</v>
      </c>
      <c r="E165" s="10"/>
      <c r="F165" s="14">
        <v>100</v>
      </c>
      <c r="G165" s="48" t="s">
        <v>244</v>
      </c>
      <c r="H165" s="3"/>
      <c r="I165" s="3"/>
    </row>
    <row r="166" spans="2:9" s="25" customFormat="1" x14ac:dyDescent="0.3">
      <c r="B166" s="53"/>
      <c r="C166" s="182"/>
      <c r="D166" s="25" t="str">
        <f xml:space="preserve"> D$5</f>
        <v>Exchange rate USD to AUD</v>
      </c>
      <c r="F166" s="25">
        <f t="shared" ref="F166:G166" si="8" xml:space="preserve"> F$5</f>
        <v>0.7</v>
      </c>
      <c r="G166" s="25" t="str">
        <f t="shared" si="8"/>
        <v>AUD/USD</v>
      </c>
      <c r="H166" s="182"/>
    </row>
    <row r="167" spans="2:9" s="25" customFormat="1" x14ac:dyDescent="0.3">
      <c r="B167" s="53"/>
      <c r="C167" s="182"/>
      <c r="D167" s="47" t="s">
        <v>243</v>
      </c>
      <c r="F167" s="25">
        <f xml:space="preserve"> F165 * F166</f>
        <v>70</v>
      </c>
      <c r="G167" s="25" t="s">
        <v>245</v>
      </c>
      <c r="H167" s="182"/>
    </row>
    <row r="168" spans="2:9" s="4" customFormat="1" x14ac:dyDescent="0.3">
      <c r="B168" s="15"/>
      <c r="C168" s="174"/>
      <c r="D168" s="47"/>
      <c r="E168" s="10"/>
      <c r="F168" s="25"/>
      <c r="G168" s="47"/>
      <c r="H168" s="343"/>
      <c r="I168" s="343"/>
    </row>
    <row r="169" spans="2:9" x14ac:dyDescent="0.3">
      <c r="D169" s="60" t="s">
        <v>246</v>
      </c>
      <c r="E169" s="10"/>
      <c r="F169" s="11">
        <v>0.02</v>
      </c>
      <c r="G169" s="56" t="s">
        <v>68</v>
      </c>
      <c r="H169" s="3"/>
      <c r="I169" s="3"/>
    </row>
    <row r="170" spans="2:9" x14ac:dyDescent="0.3">
      <c r="D170" s="3"/>
      <c r="F170" s="3"/>
      <c r="H170" s="3"/>
      <c r="I170" s="3"/>
    </row>
    <row r="171" spans="2:9" x14ac:dyDescent="0.3">
      <c r="B171" s="15" t="s">
        <v>247</v>
      </c>
      <c r="F171" s="9"/>
      <c r="H171" s="9"/>
    </row>
    <row r="172" spans="2:9" s="135" customFormat="1" x14ac:dyDescent="0.3">
      <c r="B172" s="136"/>
      <c r="C172" s="137"/>
      <c r="D172" s="135" t="str">
        <f xml:space="preserve"> D$6</f>
        <v>Inflation (1 AUD in 2020 vs 1 AUD in 2021)</v>
      </c>
      <c r="E172" s="19"/>
      <c r="F172" s="135">
        <f xml:space="preserve"> F$6</f>
        <v>1.0317499999999999</v>
      </c>
      <c r="G172" s="135" t="str">
        <f xml:space="preserve"> G$6</f>
        <v>index</v>
      </c>
      <c r="H172" s="137"/>
    </row>
    <row r="173" spans="2:9" s="25" customFormat="1" x14ac:dyDescent="0.3">
      <c r="B173" s="53"/>
      <c r="C173" s="182"/>
      <c r="D173" s="25" t="str">
        <f xml:space="preserve"> D$5</f>
        <v>Exchange rate USD to AUD</v>
      </c>
      <c r="F173" s="25">
        <f t="shared" ref="F173:G173" si="9" xml:space="preserve"> F$5</f>
        <v>0.7</v>
      </c>
      <c r="G173" s="25" t="str">
        <f t="shared" si="9"/>
        <v>AUD/USD</v>
      </c>
      <c r="H173" s="182"/>
    </row>
    <row r="174" spans="2:9" s="22" customFormat="1" ht="28.8" x14ac:dyDescent="0.3">
      <c r="B174" s="23"/>
      <c r="C174" s="180"/>
      <c r="E174" s="38">
        <f xml:space="preserve"> 'References &amp; Notes'!B$11</f>
        <v>8</v>
      </c>
      <c r="F174" s="75" t="s">
        <v>248</v>
      </c>
      <c r="G174" s="75" t="s">
        <v>249</v>
      </c>
      <c r="H174" s="75" t="s">
        <v>249</v>
      </c>
      <c r="I174" s="75" t="s">
        <v>249</v>
      </c>
    </row>
    <row r="175" spans="2:9" s="15" customFormat="1" x14ac:dyDescent="0.3">
      <c r="C175" s="174"/>
      <c r="D175" s="147"/>
      <c r="E175" s="10"/>
      <c r="F175" s="173" t="s">
        <v>204</v>
      </c>
      <c r="G175" s="173" t="s">
        <v>205</v>
      </c>
      <c r="H175" s="173" t="s">
        <v>132</v>
      </c>
      <c r="I175" s="173" t="s">
        <v>132</v>
      </c>
    </row>
    <row r="176" spans="2:9" s="15" customFormat="1" x14ac:dyDescent="0.3">
      <c r="C176" s="174"/>
      <c r="D176" s="17" t="s">
        <v>250</v>
      </c>
      <c r="E176" s="19"/>
      <c r="F176" s="79" t="s">
        <v>251</v>
      </c>
      <c r="G176" s="79" t="s">
        <v>252</v>
      </c>
      <c r="H176" s="79" t="s">
        <v>252</v>
      </c>
      <c r="I176" s="79" t="s">
        <v>253</v>
      </c>
    </row>
    <row r="177" spans="2:10" s="77" customFormat="1" ht="5.0999999999999996" customHeight="1" x14ac:dyDescent="0.3">
      <c r="B177" s="18"/>
      <c r="C177" s="184"/>
      <c r="D177" s="265"/>
      <c r="E177" s="247"/>
      <c r="F177" s="266"/>
      <c r="G177" s="266"/>
      <c r="H177" s="266"/>
      <c r="I177" s="266"/>
    </row>
    <row r="178" spans="2:10" s="8" customFormat="1" x14ac:dyDescent="0.3">
      <c r="B178" s="21"/>
      <c r="C178" s="43"/>
      <c r="D178" s="269" t="s">
        <v>72</v>
      </c>
      <c r="F178" s="149">
        <v>8695800</v>
      </c>
      <c r="G178" s="149">
        <v>5940529000</v>
      </c>
      <c r="H178" s="8">
        <f xml:space="preserve"> G178 * $F$172</f>
        <v>6129140795.75</v>
      </c>
      <c r="I178" s="8">
        <f xml:space="preserve"> H178 * $F$173</f>
        <v>4290398557.0249996</v>
      </c>
    </row>
    <row r="179" spans="2:10" x14ac:dyDescent="0.3">
      <c r="B179" s="15"/>
      <c r="D179" s="148" t="s">
        <v>73</v>
      </c>
      <c r="F179" s="149">
        <v>658261000</v>
      </c>
      <c r="G179" s="149">
        <v>1670292000</v>
      </c>
      <c r="H179">
        <f t="shared" ref="H179:H182" si="10" xml:space="preserve"> G179 * $F$172</f>
        <v>1723323771</v>
      </c>
      <c r="I179" s="8">
        <f t="shared" ref="I179:I182" si="11" xml:space="preserve"> H179 * $F$173</f>
        <v>1206326639.6999998</v>
      </c>
    </row>
    <row r="180" spans="2:10" x14ac:dyDescent="0.3">
      <c r="B180" s="15"/>
      <c r="D180" s="148" t="s">
        <v>254</v>
      </c>
      <c r="F180" s="149">
        <v>1818893</v>
      </c>
      <c r="G180" s="149">
        <v>33005000</v>
      </c>
      <c r="H180">
        <f t="shared" si="10"/>
        <v>34052908.75</v>
      </c>
      <c r="I180" s="8">
        <f t="shared" si="11"/>
        <v>23837036.125</v>
      </c>
    </row>
    <row r="181" spans="2:10" x14ac:dyDescent="0.3">
      <c r="B181" s="15"/>
      <c r="D181" s="148" t="s">
        <v>255</v>
      </c>
      <c r="F181" s="149">
        <v>5167300</v>
      </c>
      <c r="G181" s="149">
        <v>846310000</v>
      </c>
      <c r="H181">
        <f t="shared" si="10"/>
        <v>873180342.5</v>
      </c>
      <c r="I181" s="8">
        <f t="shared" si="11"/>
        <v>611226239.75</v>
      </c>
    </row>
    <row r="182" spans="2:10" x14ac:dyDescent="0.3">
      <c r="B182" s="15"/>
      <c r="D182" s="148" t="s">
        <v>256</v>
      </c>
      <c r="F182" s="149">
        <v>28537100</v>
      </c>
      <c r="G182" s="149">
        <v>1883347000</v>
      </c>
      <c r="H182">
        <f t="shared" si="10"/>
        <v>1943143267.25</v>
      </c>
      <c r="I182" s="8">
        <f t="shared" si="11"/>
        <v>1360200287.0749998</v>
      </c>
    </row>
    <row r="183" spans="2:10" s="77" customFormat="1" ht="5.0999999999999996" customHeight="1" x14ac:dyDescent="0.3">
      <c r="B183" s="18"/>
      <c r="C183" s="184"/>
      <c r="D183" s="265"/>
      <c r="E183" s="247"/>
      <c r="F183" s="266"/>
      <c r="G183" s="266"/>
      <c r="H183" s="266"/>
      <c r="I183" s="266"/>
    </row>
    <row r="184" spans="2:10" x14ac:dyDescent="0.3">
      <c r="B184" s="15"/>
      <c r="D184" s="148"/>
      <c r="F184" s="3"/>
      <c r="G184" s="3"/>
      <c r="H184" s="3"/>
      <c r="I184" s="3"/>
      <c r="J184" s="3"/>
    </row>
    <row r="185" spans="2:10" s="29" customFormat="1" x14ac:dyDescent="0.3">
      <c r="B185" s="28"/>
      <c r="C185" s="181"/>
      <c r="D185" s="28" t="s">
        <v>257</v>
      </c>
      <c r="E185" s="19"/>
      <c r="G185" s="28"/>
      <c r="H185" s="28"/>
    </row>
    <row r="186" spans="2:10" s="31" customFormat="1" ht="43.2" x14ac:dyDescent="0.3">
      <c r="C186" s="185"/>
      <c r="D186" s="28"/>
      <c r="E186" s="19"/>
      <c r="F186" s="83" t="s">
        <v>258</v>
      </c>
      <c r="G186" s="83" t="s">
        <v>259</v>
      </c>
      <c r="H186" s="345" t="s">
        <v>260</v>
      </c>
    </row>
    <row r="187" spans="2:10" s="31" customFormat="1" x14ac:dyDescent="0.3">
      <c r="C187" s="185"/>
      <c r="D187" s="28" t="s">
        <v>131</v>
      </c>
      <c r="E187" s="19"/>
      <c r="F187" s="172" t="s">
        <v>261</v>
      </c>
      <c r="G187" s="172" t="s">
        <v>261</v>
      </c>
      <c r="H187" s="172" t="s">
        <v>261</v>
      </c>
    </row>
    <row r="188" spans="2:10" s="151" customFormat="1" x14ac:dyDescent="0.3">
      <c r="B188" s="150"/>
      <c r="C188" s="186"/>
      <c r="D188" s="151" t="s">
        <v>139</v>
      </c>
      <c r="E188" s="9"/>
      <c r="F188" s="152">
        <v>0.30399999999999999</v>
      </c>
      <c r="G188" s="152">
        <v>0.20200000000000001</v>
      </c>
      <c r="H188" s="152">
        <v>0.104</v>
      </c>
    </row>
    <row r="189" spans="2:10" s="151" customFormat="1" x14ac:dyDescent="0.3">
      <c r="B189" s="150"/>
      <c r="C189" s="186"/>
      <c r="D189" s="151" t="s">
        <v>140</v>
      </c>
      <c r="E189" s="9"/>
      <c r="F189" s="152">
        <v>0.90900000000000003</v>
      </c>
      <c r="G189" s="152">
        <v>0.60499999999999998</v>
      </c>
      <c r="H189" s="152">
        <v>0.30399999999999999</v>
      </c>
    </row>
    <row r="190" spans="2:10" s="151" customFormat="1" x14ac:dyDescent="0.3">
      <c r="B190" s="150"/>
      <c r="C190" s="186"/>
      <c r="D190" s="151" t="s">
        <v>141</v>
      </c>
      <c r="E190" s="9"/>
      <c r="F190" s="152">
        <v>0.90900000000000003</v>
      </c>
      <c r="G190" s="152">
        <v>0.60499999999999998</v>
      </c>
      <c r="H190" s="152">
        <v>0.30399999999999999</v>
      </c>
    </row>
    <row r="191" spans="2:10" s="151" customFormat="1" x14ac:dyDescent="0.3">
      <c r="B191" s="150"/>
      <c r="C191" s="186"/>
      <c r="D191" s="151" t="s">
        <v>142</v>
      </c>
      <c r="E191" s="9"/>
      <c r="F191" s="152">
        <v>0.90900000000000003</v>
      </c>
      <c r="G191" s="152">
        <v>0.60499999999999998</v>
      </c>
      <c r="H191" s="152">
        <v>0.30399999999999999</v>
      </c>
    </row>
    <row r="192" spans="2:10" x14ac:dyDescent="0.3">
      <c r="F192"/>
    </row>
    <row r="193" spans="2:8" s="135" customFormat="1" x14ac:dyDescent="0.3">
      <c r="B193" s="136"/>
      <c r="C193" s="137"/>
      <c r="D193" s="135" t="str">
        <f xml:space="preserve"> D$7</f>
        <v>Inflation (1 AUD in 2007 vs 1 AUD in 2021)</v>
      </c>
      <c r="E193" s="19"/>
      <c r="F193" s="135">
        <f xml:space="preserve"> F$7</f>
        <v>1.3672500000000001</v>
      </c>
      <c r="G193" s="135" t="str">
        <f xml:space="preserve"> G$7</f>
        <v>index</v>
      </c>
      <c r="H193" s="137"/>
    </row>
    <row r="194" spans="2:8" s="135" customFormat="1" x14ac:dyDescent="0.3">
      <c r="B194" s="136"/>
      <c r="C194" s="137"/>
      <c r="D194" s="28" t="s">
        <v>132</v>
      </c>
      <c r="E194" s="19"/>
      <c r="F194" s="172" t="s">
        <v>261</v>
      </c>
      <c r="G194" s="172" t="s">
        <v>261</v>
      </c>
      <c r="H194" s="172" t="s">
        <v>261</v>
      </c>
    </row>
    <row r="195" spans="2:8" x14ac:dyDescent="0.3">
      <c r="D195" s="4" t="s">
        <v>139</v>
      </c>
      <c r="E195" s="10"/>
      <c r="F195" s="153">
        <f t="shared" ref="F195:H198" si="12">(1-F188)*$F$193</f>
        <v>0.95160599999999995</v>
      </c>
      <c r="G195" s="154">
        <f t="shared" si="12"/>
        <v>1.0910655</v>
      </c>
      <c r="H195" s="153">
        <f t="shared" si="12"/>
        <v>1.2250560000000001</v>
      </c>
    </row>
    <row r="196" spans="2:8" x14ac:dyDescent="0.3">
      <c r="D196" t="s">
        <v>140</v>
      </c>
      <c r="F196" s="153">
        <f t="shared" si="12"/>
        <v>0.12441974999999997</v>
      </c>
      <c r="G196" s="153">
        <f t="shared" si="12"/>
        <v>0.54006375000000006</v>
      </c>
      <c r="H196" s="153">
        <f t="shared" si="12"/>
        <v>0.95160599999999995</v>
      </c>
    </row>
    <row r="197" spans="2:8" x14ac:dyDescent="0.3">
      <c r="D197" t="s">
        <v>141</v>
      </c>
      <c r="F197" s="153">
        <f t="shared" si="12"/>
        <v>0.12441974999999997</v>
      </c>
      <c r="G197" s="153">
        <f t="shared" si="12"/>
        <v>0.54006375000000006</v>
      </c>
      <c r="H197" s="153">
        <f t="shared" si="12"/>
        <v>0.95160599999999995</v>
      </c>
    </row>
    <row r="198" spans="2:8" x14ac:dyDescent="0.3">
      <c r="D198" t="s">
        <v>142</v>
      </c>
      <c r="F198" s="153">
        <f t="shared" si="12"/>
        <v>0.12441974999999997</v>
      </c>
      <c r="G198" s="153">
        <f t="shared" si="12"/>
        <v>0.54006375000000006</v>
      </c>
      <c r="H198" s="153">
        <f t="shared" si="12"/>
        <v>0.95160599999999995</v>
      </c>
    </row>
    <row r="200" spans="2:8" x14ac:dyDescent="0.3">
      <c r="D200" s="48" t="s">
        <v>72</v>
      </c>
      <c r="F200" s="14">
        <v>50</v>
      </c>
      <c r="G200" s="25" t="s">
        <v>262</v>
      </c>
    </row>
    <row r="202" spans="2:8" s="46" customFormat="1" x14ac:dyDescent="0.3">
      <c r="B202" s="49" t="s">
        <v>263</v>
      </c>
      <c r="C202" s="188"/>
      <c r="E202" s="10"/>
      <c r="F202" s="47"/>
      <c r="H202" s="47"/>
    </row>
    <row r="203" spans="2:8" s="46" customFormat="1" x14ac:dyDescent="0.3">
      <c r="B203" s="49"/>
      <c r="C203" s="188"/>
      <c r="E203" s="10"/>
      <c r="F203" s="47"/>
      <c r="H203" s="47"/>
    </row>
    <row r="204" spans="2:8" s="46" customFormat="1" x14ac:dyDescent="0.3">
      <c r="B204" s="49"/>
      <c r="C204" s="188"/>
      <c r="D204" s="47" t="s">
        <v>264</v>
      </c>
      <c r="E204" s="10"/>
      <c r="F204" s="14">
        <v>100</v>
      </c>
      <c r="G204" s="48" t="s">
        <v>265</v>
      </c>
      <c r="H204" s="47"/>
    </row>
    <row r="205" spans="2:8" s="46" customFormat="1" x14ac:dyDescent="0.3">
      <c r="B205" s="49"/>
      <c r="C205" s="188"/>
      <c r="E205" s="10"/>
      <c r="F205" s="47"/>
      <c r="H205" s="47"/>
    </row>
    <row r="206" spans="2:8" s="46" customFormat="1" x14ac:dyDescent="0.3">
      <c r="B206" s="49"/>
      <c r="C206" s="188"/>
      <c r="E206" s="10"/>
      <c r="F206" s="47"/>
      <c r="H206" s="47"/>
    </row>
    <row r="207" spans="2:8" s="46" customFormat="1" x14ac:dyDescent="0.3">
      <c r="B207" s="49" t="s">
        <v>266</v>
      </c>
      <c r="C207" s="188"/>
      <c r="E207" s="10"/>
      <c r="F207" s="47"/>
      <c r="H207" s="47"/>
    </row>
    <row r="208" spans="2:8" s="46" customFormat="1" x14ac:dyDescent="0.3">
      <c r="B208" s="49"/>
      <c r="C208" s="188"/>
      <c r="D208" s="7" t="s">
        <v>267</v>
      </c>
      <c r="E208" s="10"/>
      <c r="F208" s="13">
        <v>0.2</v>
      </c>
      <c r="G208" s="6" t="s">
        <v>68</v>
      </c>
      <c r="H208" s="47"/>
    </row>
    <row r="209" spans="1:8" s="46" customFormat="1" x14ac:dyDescent="0.3">
      <c r="B209" s="49"/>
      <c r="C209" s="188"/>
      <c r="D209" s="7" t="s">
        <v>268</v>
      </c>
      <c r="E209" s="10"/>
      <c r="F209" s="13">
        <v>0.1</v>
      </c>
      <c r="G209" s="6" t="s">
        <v>68</v>
      </c>
      <c r="H209" s="47"/>
    </row>
    <row r="210" spans="1:8" s="46" customFormat="1" x14ac:dyDescent="0.3">
      <c r="B210" s="49"/>
      <c r="C210" s="188"/>
      <c r="E210" s="10"/>
      <c r="F210" s="47"/>
      <c r="H210" s="47"/>
    </row>
    <row r="211" spans="1:8" s="46" customFormat="1" x14ac:dyDescent="0.3">
      <c r="B211" s="49"/>
      <c r="C211" s="188"/>
      <c r="D211" s="48" t="s">
        <v>269</v>
      </c>
      <c r="E211" s="9"/>
      <c r="F211" s="14">
        <v>200</v>
      </c>
      <c r="G211" s="48" t="s">
        <v>270</v>
      </c>
      <c r="H211" s="47"/>
    </row>
    <row r="212" spans="1:8" s="46" customFormat="1" x14ac:dyDescent="0.3">
      <c r="B212" s="49"/>
      <c r="C212" s="188"/>
      <c r="E212" s="10"/>
      <c r="F212" s="47"/>
      <c r="H212" s="47"/>
    </row>
    <row r="213" spans="1:8" s="15" customFormat="1" collapsed="1" x14ac:dyDescent="0.3">
      <c r="B213" s="1" t="s">
        <v>271</v>
      </c>
      <c r="C213" s="174"/>
      <c r="E213" s="10"/>
      <c r="F213" s="10"/>
      <c r="H213" s="155"/>
    </row>
    <row r="214" spans="1:8" s="10" customFormat="1" x14ac:dyDescent="0.3">
      <c r="B214" s="9"/>
      <c r="C214" s="174"/>
      <c r="D214" s="10" t="s">
        <v>272</v>
      </c>
      <c r="E214" s="38">
        <f xml:space="preserve"> 'References &amp; Notes'!B$12</f>
        <v>9</v>
      </c>
      <c r="F214" s="12">
        <v>431</v>
      </c>
      <c r="G214" s="10" t="s">
        <v>273</v>
      </c>
    </row>
    <row r="215" spans="1:8" s="10" customFormat="1" x14ac:dyDescent="0.3">
      <c r="B215" s="9"/>
      <c r="C215" s="174"/>
    </row>
    <row r="216" spans="1:8" x14ac:dyDescent="0.3">
      <c r="A216" s="1" t="s">
        <v>27</v>
      </c>
      <c r="F216" s="156"/>
    </row>
  </sheetData>
  <pageMargins left="0.70866141732283472" right="0.70866141732283472" top="0.74803149606299213" bottom="0.74803149606299213" header="0.31496062992125984" footer="0.31496062992125984"/>
  <pageSetup paperSize="9" scale="55"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9B038-2F1A-4F02-88B9-CA8D879318DE}">
  <sheetPr>
    <outlinePr summaryBelow="0" summaryRight="0"/>
  </sheetPr>
  <dimension ref="A1:G223"/>
  <sheetViews>
    <sheetView zoomScale="80" zoomScaleNormal="80" workbookViewId="0">
      <pane ySplit="2" topLeftCell="A203" activePane="bottomLeft" state="frozen"/>
      <selection activeCell="F40" sqref="F40"/>
      <selection pane="bottomLeft" activeCell="H9" sqref="H9"/>
    </sheetView>
  </sheetViews>
  <sheetFormatPr defaultColWidth="8.88671875" defaultRowHeight="14.4" x14ac:dyDescent="0.3"/>
  <cols>
    <col min="1" max="1" width="1.5546875" style="48" customWidth="1"/>
    <col min="2" max="2" width="1.5546875" style="49" customWidth="1"/>
    <col min="3" max="3" width="1.5546875" style="177" customWidth="1"/>
    <col min="4" max="4" width="60.88671875" style="48" customWidth="1"/>
    <col min="5" max="5" width="4.5546875" style="16" customWidth="1"/>
    <col min="6" max="6" width="14.88671875" style="48" customWidth="1"/>
    <col min="7" max="7" width="32.88671875" style="48" customWidth="1"/>
    <col min="8" max="16384" width="8.88671875" style="48"/>
  </cols>
  <sheetData>
    <row r="1" spans="1:7" customFormat="1" ht="24.6" x14ac:dyDescent="0.3">
      <c r="A1" s="32" t="str">
        <f ca="1" xml:space="preserve"> RIGHT(CELL("filename", A1), LEN(CELL("filename", A1)) - SEARCH("]", CELL("filename", A1)))</f>
        <v>Non-road benefits calcs</v>
      </c>
      <c r="B1" s="49"/>
      <c r="C1" s="174"/>
      <c r="E1" s="16"/>
      <c r="F1" s="289" t="str">
        <f xml:space="preserve"> "Active case: " &amp; 'Key inputs &amp; outputs'!$F$8</f>
        <v>Active case: Base case</v>
      </c>
      <c r="G1" s="4"/>
    </row>
    <row r="2" spans="1:7" s="53" customFormat="1" x14ac:dyDescent="0.3">
      <c r="C2" s="182"/>
      <c r="D2" s="53" t="s">
        <v>28</v>
      </c>
      <c r="E2" s="28" t="s">
        <v>29</v>
      </c>
      <c r="F2" s="63" t="s">
        <v>30</v>
      </c>
      <c r="G2" s="53" t="s">
        <v>31</v>
      </c>
    </row>
    <row r="4" spans="1:7" s="46" customFormat="1" x14ac:dyDescent="0.3">
      <c r="B4" s="46" t="s">
        <v>121</v>
      </c>
      <c r="C4" s="188"/>
      <c r="E4" s="306"/>
      <c r="F4" s="47"/>
    </row>
    <row r="5" spans="1:7" s="70" customFormat="1" x14ac:dyDescent="0.3">
      <c r="B5" s="68"/>
      <c r="C5" s="189"/>
      <c r="D5" s="69" t="str">
        <f>'Key inputs &amp; outputs'!D$11</f>
        <v>Km of diversion</v>
      </c>
      <c r="E5" s="67"/>
      <c r="F5" s="69">
        <f>'Key inputs &amp; outputs'!F$11</f>
        <v>30</v>
      </c>
      <c r="G5" s="69" t="str">
        <f>'Key inputs &amp; outputs'!G$11</f>
        <v>km</v>
      </c>
    </row>
    <row r="6" spans="1:7" s="16" customFormat="1" x14ac:dyDescent="0.3">
      <c r="B6" s="66"/>
      <c r="C6" s="178"/>
      <c r="D6" s="67" t="str">
        <f xml:space="preserve"> 'Key inputs &amp; outputs'!D$12</f>
        <v>People impacted per day</v>
      </c>
      <c r="E6" s="67"/>
      <c r="F6" s="67">
        <f xml:space="preserve"> 'Key inputs &amp; outputs'!F$12</f>
        <v>50</v>
      </c>
      <c r="G6" s="67" t="str">
        <f xml:space="preserve"> 'Key inputs &amp; outputs'!G$12</f>
        <v>people</v>
      </c>
    </row>
    <row r="7" spans="1:7" x14ac:dyDescent="0.3">
      <c r="D7" s="52" t="str">
        <f xml:space="preserve"> 'Key inputs &amp; outputs'!D$13</f>
        <v>Vehicle ownership per person</v>
      </c>
      <c r="E7" s="67"/>
      <c r="F7" s="301">
        <f xml:space="preserve"> 'Key inputs &amp; outputs'!F$13</f>
        <v>0.5</v>
      </c>
      <c r="G7" s="52" t="str">
        <f xml:space="preserve"> 'Key inputs &amp; outputs'!G$13</f>
        <v>vehicle/person</v>
      </c>
    </row>
    <row r="8" spans="1:7" x14ac:dyDescent="0.3">
      <c r="D8" s="24" t="str">
        <f xml:space="preserve"> 'Other inputs'!D$11</f>
        <v>Trips per day</v>
      </c>
      <c r="E8" s="207"/>
      <c r="F8" s="24">
        <f xml:space="preserve"> 'Other inputs'!F$11</f>
        <v>2</v>
      </c>
      <c r="G8" s="24" t="str">
        <f xml:space="preserve"> 'Other inputs'!G$11</f>
        <v>veh/day</v>
      </c>
    </row>
    <row r="9" spans="1:7" s="9" customFormat="1" x14ac:dyDescent="0.3">
      <c r="B9" s="1"/>
      <c r="C9" s="175"/>
      <c r="D9" s="9" t="s">
        <v>274</v>
      </c>
      <c r="E9" s="16"/>
      <c r="F9" s="9">
        <f xml:space="preserve"> F5 * (F6 / F7) * F8</f>
        <v>6000</v>
      </c>
      <c r="G9" s="10" t="s">
        <v>49</v>
      </c>
    </row>
    <row r="10" spans="1:7" ht="5.0999999999999996" customHeight="1" x14ac:dyDescent="0.3"/>
    <row r="11" spans="1:7" x14ac:dyDescent="0.3">
      <c r="D11" s="24" t="str">
        <f xml:space="preserve"> 'Other inputs'!D$12</f>
        <v>Average fuel consumption per km</v>
      </c>
      <c r="E11" s="207"/>
      <c r="F11" s="24">
        <f xml:space="preserve"> 'Other inputs'!F$12</f>
        <v>0.08</v>
      </c>
      <c r="G11" s="24" t="str">
        <f xml:space="preserve"> 'Other inputs'!G$12</f>
        <v>liter/100 km</v>
      </c>
    </row>
    <row r="12" spans="1:7" x14ac:dyDescent="0.3">
      <c r="D12" s="48" t="s">
        <v>275</v>
      </c>
      <c r="F12" s="48">
        <f>F9*F11</f>
        <v>480</v>
      </c>
      <c r="G12" s="48" t="s">
        <v>276</v>
      </c>
    </row>
    <row r="13" spans="1:7" ht="5.0999999999999996" customHeight="1" x14ac:dyDescent="0.3"/>
    <row r="14" spans="1:7" x14ac:dyDescent="0.3">
      <c r="D14" s="24" t="str">
        <f xml:space="preserve"> 'Other inputs'!D$13</f>
        <v>Fuel price</v>
      </c>
      <c r="E14" s="207"/>
      <c r="F14" s="24">
        <f xml:space="preserve"> 'Other inputs'!F$13</f>
        <v>1.5</v>
      </c>
      <c r="G14" s="24" t="str">
        <f xml:space="preserve"> 'Other inputs'!G$13</f>
        <v>AUD/liter</v>
      </c>
    </row>
    <row r="15" spans="1:7" s="85" customFormat="1" x14ac:dyDescent="0.3">
      <c r="B15" s="84"/>
      <c r="C15" s="197"/>
      <c r="D15" s="258" t="str">
        <f xml:space="preserve"> 'Key inputs &amp; outputs'!D$33</f>
        <v>1 Fuel cost - sensitivity factor</v>
      </c>
      <c r="E15" s="207"/>
      <c r="F15" s="258">
        <f xml:space="preserve"> 'Key inputs &amp; outputs'!F$33</f>
        <v>1</v>
      </c>
      <c r="G15" s="258" t="str">
        <f xml:space="preserve"> 'Key inputs &amp; outputs'!G$33</f>
        <v>factor</v>
      </c>
    </row>
    <row r="16" spans="1:7" s="91" customFormat="1" x14ac:dyDescent="0.3">
      <c r="B16" s="90"/>
      <c r="C16" s="190"/>
      <c r="D16" s="91" t="str">
        <f xml:space="preserve"> B4</f>
        <v>1 Fuel cost</v>
      </c>
      <c r="F16" s="91">
        <f xml:space="preserve"> F12 * F14 * F15</f>
        <v>720</v>
      </c>
      <c r="G16" s="91" t="s">
        <v>277</v>
      </c>
    </row>
    <row r="18" spans="2:7" s="46" customFormat="1" x14ac:dyDescent="0.3">
      <c r="B18" s="46" t="s">
        <v>128</v>
      </c>
      <c r="C18" s="188"/>
      <c r="E18" s="306"/>
      <c r="F18" s="47"/>
    </row>
    <row r="19" spans="2:7" s="70" customFormat="1" x14ac:dyDescent="0.3">
      <c r="B19" s="68"/>
      <c r="C19" s="189"/>
      <c r="D19" s="69" t="str">
        <f>'Key inputs &amp; outputs'!D$14</f>
        <v>Number of vehicles impacted</v>
      </c>
      <c r="E19" s="67"/>
      <c r="F19" s="69">
        <f>'Key inputs &amp; outputs'!F$14</f>
        <v>25</v>
      </c>
      <c r="G19" s="69" t="str">
        <f>'Key inputs &amp; outputs'!G$14</f>
        <v>vehicles</v>
      </c>
    </row>
    <row r="20" spans="2:7" x14ac:dyDescent="0.3">
      <c r="D20" s="48" t="s">
        <v>278</v>
      </c>
      <c r="E20" s="328"/>
      <c r="F20" s="52">
        <f>'Other inputs'!G21</f>
        <v>6.1526250000000005</v>
      </c>
      <c r="G20" s="48" t="s">
        <v>134</v>
      </c>
    </row>
    <row r="21" spans="2:7" s="70" customFormat="1" x14ac:dyDescent="0.3">
      <c r="B21" s="68"/>
      <c r="C21" s="189"/>
      <c r="D21" s="69" t="str">
        <f>'Key inputs &amp; outputs'!D$11</f>
        <v>Km of diversion</v>
      </c>
      <c r="E21" s="67"/>
      <c r="F21" s="69">
        <f>'Key inputs &amp; outputs'!F$11</f>
        <v>30</v>
      </c>
      <c r="G21" s="69" t="str">
        <f>'Key inputs &amp; outputs'!G$11</f>
        <v>km</v>
      </c>
    </row>
    <row r="22" spans="2:7" s="85" customFormat="1" x14ac:dyDescent="0.3">
      <c r="B22" s="84"/>
      <c r="C22" s="197"/>
      <c r="D22" s="258" t="str">
        <f xml:space="preserve"> 'Key inputs &amp; outputs'!D$34</f>
        <v>2 O&amp;M cost of vehicles - sensitivity factor</v>
      </c>
      <c r="E22" s="207"/>
      <c r="F22" s="258">
        <f xml:space="preserve"> 'Key inputs &amp; outputs'!F$34</f>
        <v>1</v>
      </c>
      <c r="G22" s="258" t="str">
        <f xml:space="preserve"> 'Key inputs &amp; outputs'!G$34</f>
        <v>factor</v>
      </c>
    </row>
    <row r="23" spans="2:7" s="91" customFormat="1" x14ac:dyDescent="0.3">
      <c r="B23" s="90"/>
      <c r="C23" s="190"/>
      <c r="D23" s="91" t="str">
        <f xml:space="preserve"> B18</f>
        <v>2 O&amp;M cost of vehicles</v>
      </c>
      <c r="F23" s="91">
        <f>F19 * (F20/100) * F21 * F22</f>
        <v>46.144687500000003</v>
      </c>
      <c r="G23" s="91" t="s">
        <v>277</v>
      </c>
    </row>
    <row r="25" spans="2:7" s="46" customFormat="1" x14ac:dyDescent="0.3">
      <c r="B25" s="46" t="s">
        <v>143</v>
      </c>
      <c r="C25" s="188"/>
      <c r="E25" s="306"/>
      <c r="F25" s="47"/>
    </row>
    <row r="26" spans="2:7" x14ac:dyDescent="0.3">
      <c r="D26" s="24" t="str">
        <f xml:space="preserve"> 'Other inputs'!D$31</f>
        <v>Material demand - periodic maintance</v>
      </c>
      <c r="E26" s="304">
        <f xml:space="preserve"> 'References &amp; Notes'!B$13</f>
        <v>10</v>
      </c>
      <c r="F26" s="24">
        <f xml:space="preserve"> 'Other inputs'!F$31</f>
        <v>39.1</v>
      </c>
      <c r="G26" s="24" t="str">
        <f xml:space="preserve"> 'Other inputs'!G$31</f>
        <v>Tonnes/km/5 year</v>
      </c>
    </row>
    <row r="27" spans="2:7" x14ac:dyDescent="0.3">
      <c r="D27" s="24" t="str">
        <f xml:space="preserve"> 'Other inputs'!D$32</f>
        <v>Extra traffic multiplier (cars)</v>
      </c>
      <c r="E27" s="207"/>
      <c r="F27" s="24">
        <f xml:space="preserve"> 'Other inputs'!F$32</f>
        <v>2</v>
      </c>
      <c r="G27" s="24" t="str">
        <f xml:space="preserve"> 'Other inputs'!G$32</f>
        <v>multiplier</v>
      </c>
    </row>
    <row r="28" spans="2:7" s="47" customFormat="1" x14ac:dyDescent="0.3">
      <c r="B28" s="46"/>
      <c r="C28" s="188"/>
      <c r="D28" s="47" t="s">
        <v>279</v>
      </c>
      <c r="E28" s="26"/>
      <c r="F28" s="25">
        <f>F26 * F27</f>
        <v>78.2</v>
      </c>
      <c r="G28" s="47" t="s">
        <v>145</v>
      </c>
    </row>
    <row r="29" spans="2:7" ht="5.0999999999999996" customHeight="1" x14ac:dyDescent="0.3"/>
    <row r="30" spans="2:7" x14ac:dyDescent="0.3">
      <c r="B30" s="46"/>
      <c r="C30" s="188"/>
      <c r="D30" s="52" t="str">
        <f xml:space="preserve"> 'Other inputs'!D$39</f>
        <v>Maintence cost - virgin material</v>
      </c>
      <c r="E30" s="52"/>
      <c r="F30" s="52">
        <f xml:space="preserve"> 'Other inputs'!F$39</f>
        <v>8.33</v>
      </c>
      <c r="G30" s="52" t="str">
        <f xml:space="preserve"> 'Other inputs'!G$39</f>
        <v>AUD/tonnes</v>
      </c>
    </row>
    <row r="31" spans="2:7" x14ac:dyDescent="0.3">
      <c r="B31" s="46"/>
      <c r="C31" s="188"/>
      <c r="D31" s="52" t="str">
        <f xml:space="preserve"> 'Other inputs'!D$40</f>
        <v>Maintence cost - recycled</v>
      </c>
      <c r="E31" s="52"/>
      <c r="F31" s="52">
        <f xml:space="preserve"> 'Other inputs'!F$40</f>
        <v>2.59</v>
      </c>
      <c r="G31" s="52" t="str">
        <f xml:space="preserve"> 'Other inputs'!G$40</f>
        <v>AUD/tonnes</v>
      </c>
    </row>
    <row r="32" spans="2:7" ht="5.0999999999999996" customHeight="1" x14ac:dyDescent="0.3"/>
    <row r="33" spans="2:7" s="70" customFormat="1" x14ac:dyDescent="0.3">
      <c r="B33" s="68"/>
      <c r="C33" s="189"/>
      <c r="D33" s="69" t="str">
        <f>'Key inputs &amp; outputs'!D$11</f>
        <v>Km of diversion</v>
      </c>
      <c r="E33" s="67"/>
      <c r="F33" s="69">
        <f>'Key inputs &amp; outputs'!F$11</f>
        <v>30</v>
      </c>
      <c r="G33" s="69" t="str">
        <f>'Key inputs &amp; outputs'!G$11</f>
        <v>km</v>
      </c>
    </row>
    <row r="34" spans="2:7" ht="5.0999999999999996" customHeight="1" x14ac:dyDescent="0.3"/>
    <row r="35" spans="2:7" x14ac:dyDescent="0.3">
      <c r="D35" s="24" t="str">
        <f xml:space="preserve"> 'Other inputs'!D$42</f>
        <v>Material demand - annual maintance</v>
      </c>
      <c r="E35" s="207"/>
      <c r="F35" s="24">
        <f xml:space="preserve"> 'Other inputs'!F$42</f>
        <v>1.2</v>
      </c>
      <c r="G35" s="24" t="str">
        <f xml:space="preserve"> 'Other inputs'!G$42</f>
        <v>Tonnes/km/year</v>
      </c>
    </row>
    <row r="36" spans="2:7" ht="5.0999999999999996" customHeight="1" x14ac:dyDescent="0.3"/>
    <row r="37" spans="2:7" s="7" customFormat="1" x14ac:dyDescent="0.3">
      <c r="B37" s="293"/>
      <c r="C37" s="294"/>
      <c r="D37" s="292" t="str">
        <f xml:space="preserve"> 'Other inputs'!D$43</f>
        <v>% recycled materials used for O&amp;M of roads</v>
      </c>
      <c r="E37" s="207"/>
      <c r="F37" s="292">
        <f xml:space="preserve"> 'Other inputs'!F$43</f>
        <v>0.2</v>
      </c>
      <c r="G37" s="292" t="str">
        <f xml:space="preserve"> 'Other inputs'!G$43</f>
        <v>%</v>
      </c>
    </row>
    <row r="38" spans="2:7" s="6" customFormat="1" x14ac:dyDescent="0.3">
      <c r="B38" s="57"/>
      <c r="C38" s="191"/>
      <c r="D38" s="7" t="s">
        <v>280</v>
      </c>
      <c r="E38" s="26"/>
      <c r="F38" s="62">
        <f xml:space="preserve"> 1 - F37</f>
        <v>0.8</v>
      </c>
      <c r="G38" s="6" t="s">
        <v>68</v>
      </c>
    </row>
    <row r="39" spans="2:7" ht="5.0999999999999996" customHeight="1" x14ac:dyDescent="0.3"/>
    <row r="40" spans="2:7" s="16" customFormat="1" x14ac:dyDescent="0.3">
      <c r="B40" s="66"/>
      <c r="C40" s="178"/>
      <c r="D40" s="207" t="str">
        <f xml:space="preserve"> 'Other inputs'!D$45</f>
        <v>Number of years basis for preceeding inputs</v>
      </c>
      <c r="E40" s="207"/>
      <c r="F40" s="207">
        <f xml:space="preserve"> 'Other inputs'!F$45</f>
        <v>5</v>
      </c>
      <c r="G40" s="207" t="str">
        <f xml:space="preserve"> 'Other inputs'!G$45</f>
        <v>years</v>
      </c>
    </row>
    <row r="41" spans="2:7" s="9" customFormat="1" x14ac:dyDescent="0.3">
      <c r="B41" s="1"/>
      <c r="C41" s="175"/>
      <c r="D41" s="9" t="s">
        <v>281</v>
      </c>
      <c r="E41" s="16"/>
      <c r="F41" s="9">
        <f xml:space="preserve"> F33 * (F35 + (F28 / F40)) * ((F31 * F37) + (F30 * F38))</f>
        <v>3628.3463999999999</v>
      </c>
      <c r="G41" s="9" t="s">
        <v>99</v>
      </c>
    </row>
    <row r="42" spans="2:7" s="16" customFormat="1" x14ac:dyDescent="0.3">
      <c r="B42" s="66"/>
      <c r="C42" s="178"/>
      <c r="D42" s="207" t="str">
        <f xml:space="preserve"> 'Other inputs'!D$8</f>
        <v>Days per year</v>
      </c>
      <c r="E42" s="207"/>
      <c r="F42" s="207">
        <f xml:space="preserve"> 'Other inputs'!F$8</f>
        <v>365</v>
      </c>
      <c r="G42" s="207" t="str">
        <f xml:space="preserve"> 'Other inputs'!G$8</f>
        <v>days</v>
      </c>
    </row>
    <row r="43" spans="2:7" s="85" customFormat="1" x14ac:dyDescent="0.3">
      <c r="B43" s="84"/>
      <c r="C43" s="197"/>
      <c r="D43" s="258" t="str">
        <f xml:space="preserve"> 'Key inputs &amp; outputs'!D$35</f>
        <v>3 O&amp;M cost of roads - sensitivity factor</v>
      </c>
      <c r="E43" s="207"/>
      <c r="F43" s="258">
        <f xml:space="preserve"> 'Key inputs &amp; outputs'!F$35</f>
        <v>1</v>
      </c>
      <c r="G43" s="258" t="str">
        <f xml:space="preserve"> 'Key inputs &amp; outputs'!G$35</f>
        <v>factor</v>
      </c>
    </row>
    <row r="44" spans="2:7" s="91" customFormat="1" x14ac:dyDescent="0.3">
      <c r="B44" s="90"/>
      <c r="C44" s="190"/>
      <c r="D44" s="91" t="str">
        <f xml:space="preserve"> B25</f>
        <v>3 O&amp;M cost of roads</v>
      </c>
      <c r="F44" s="169">
        <f xml:space="preserve"> F41 / F42 * F43</f>
        <v>9.9406750684931513</v>
      </c>
      <c r="G44" s="91" t="s">
        <v>277</v>
      </c>
    </row>
    <row r="46" spans="2:7" s="46" customFormat="1" x14ac:dyDescent="0.3">
      <c r="B46" s="46" t="s">
        <v>157</v>
      </c>
      <c r="C46" s="188"/>
      <c r="E46" s="306"/>
      <c r="F46" s="47"/>
    </row>
    <row r="47" spans="2:7" s="70" customFormat="1" x14ac:dyDescent="0.3">
      <c r="B47" s="68"/>
      <c r="C47" s="189"/>
      <c r="D47" s="69" t="str">
        <f>'Key inputs &amp; outputs'!D$11</f>
        <v>Km of diversion</v>
      </c>
      <c r="E47" s="67"/>
      <c r="F47" s="69">
        <f>'Key inputs &amp; outputs'!F$11</f>
        <v>30</v>
      </c>
      <c r="G47" s="69" t="str">
        <f>'Key inputs &amp; outputs'!G$11</f>
        <v>km</v>
      </c>
    </row>
    <row r="48" spans="2:7" s="47" customFormat="1" x14ac:dyDescent="0.3">
      <c r="B48" s="46"/>
      <c r="C48" s="188"/>
      <c r="D48" s="24" t="str">
        <f xml:space="preserve"> 'Key inputs &amp; outputs'!D$19</f>
        <v>Vehicle speed</v>
      </c>
      <c r="E48" s="207"/>
      <c r="F48" s="24">
        <f xml:space="preserve"> 'Key inputs &amp; outputs'!F$19</f>
        <v>40</v>
      </c>
      <c r="G48" s="24" t="str">
        <f xml:space="preserve"> 'Key inputs &amp; outputs'!G$19</f>
        <v>km/h</v>
      </c>
    </row>
    <row r="49" spans="2:7" x14ac:dyDescent="0.3">
      <c r="D49" s="48" t="s">
        <v>282</v>
      </c>
      <c r="F49" s="48">
        <f>F47/F48</f>
        <v>0.75</v>
      </c>
      <c r="G49" s="48" t="s">
        <v>283</v>
      </c>
    </row>
    <row r="50" spans="2:7" ht="5.0999999999999996" customHeight="1" x14ac:dyDescent="0.3"/>
    <row r="51" spans="2:7" s="70" customFormat="1" x14ac:dyDescent="0.3">
      <c r="B51" s="68"/>
      <c r="C51" s="189"/>
      <c r="D51" s="69" t="str">
        <f>'Key inputs &amp; outputs'!D$14</f>
        <v>Number of vehicles impacted</v>
      </c>
      <c r="E51" s="67"/>
      <c r="F51" s="69">
        <f>'Key inputs &amp; outputs'!F$14</f>
        <v>25</v>
      </c>
      <c r="G51" s="69" t="str">
        <f>'Key inputs &amp; outputs'!G$14</f>
        <v>vehicles</v>
      </c>
    </row>
    <row r="52" spans="2:7" x14ac:dyDescent="0.3">
      <c r="D52" s="48" t="s">
        <v>284</v>
      </c>
      <c r="E52" s="328"/>
      <c r="F52" s="52">
        <f>'Other inputs'!G53</f>
        <v>26.702392500000002</v>
      </c>
      <c r="G52" s="48" t="s">
        <v>159</v>
      </c>
    </row>
    <row r="53" spans="2:7" s="85" customFormat="1" x14ac:dyDescent="0.3">
      <c r="B53" s="84"/>
      <c r="C53" s="197"/>
      <c r="D53" s="258" t="str">
        <f xml:space="preserve"> 'Key inputs &amp; outputs'!D$36</f>
        <v>4 Cost of travel time - sensitivity factor</v>
      </c>
      <c r="E53" s="207"/>
      <c r="F53" s="258">
        <f xml:space="preserve"> 'Key inputs &amp; outputs'!F$36</f>
        <v>1</v>
      </c>
      <c r="G53" s="258" t="str">
        <f xml:space="preserve"> 'Key inputs &amp; outputs'!G$36</f>
        <v>factor</v>
      </c>
    </row>
    <row r="54" spans="2:7" s="91" customFormat="1" x14ac:dyDescent="0.3">
      <c r="B54" s="90"/>
      <c r="C54" s="190"/>
      <c r="D54" s="91" t="str">
        <f>B46</f>
        <v>4 Cost of travel time</v>
      </c>
      <c r="F54" s="91">
        <f>F49 * F51 * F52 * F53</f>
        <v>500.66985937500004</v>
      </c>
      <c r="G54" s="91" t="s">
        <v>277</v>
      </c>
    </row>
    <row r="56" spans="2:7" x14ac:dyDescent="0.3">
      <c r="B56" s="49" t="s">
        <v>176</v>
      </c>
    </row>
    <row r="57" spans="2:7" s="46" customFormat="1" x14ac:dyDescent="0.3">
      <c r="C57" s="188" t="s">
        <v>285</v>
      </c>
      <c r="E57" s="306"/>
      <c r="F57" s="47"/>
    </row>
    <row r="58" spans="2:7" s="70" customFormat="1" x14ac:dyDescent="0.3">
      <c r="B58" s="68"/>
      <c r="C58" s="189"/>
      <c r="D58" s="69" t="str">
        <f>'Key inputs &amp; outputs'!D$14</f>
        <v>Number of vehicles impacted</v>
      </c>
      <c r="E58" s="67"/>
      <c r="F58" s="69">
        <f>'Key inputs &amp; outputs'!F$14</f>
        <v>25</v>
      </c>
      <c r="G58" s="69" t="str">
        <f>'Key inputs &amp; outputs'!G$14</f>
        <v>vehicles</v>
      </c>
    </row>
    <row r="59" spans="2:7" s="70" customFormat="1" x14ac:dyDescent="0.3">
      <c r="B59" s="68"/>
      <c r="C59" s="189"/>
      <c r="D59" s="69" t="str">
        <f>'Key inputs &amp; outputs'!D$11</f>
        <v>Km of diversion</v>
      </c>
      <c r="E59" s="67"/>
      <c r="F59" s="69">
        <f>'Key inputs &amp; outputs'!F$11</f>
        <v>30</v>
      </c>
      <c r="G59" s="69" t="str">
        <f>'Key inputs &amp; outputs'!G$11</f>
        <v>km</v>
      </c>
    </row>
    <row r="60" spans="2:7" x14ac:dyDescent="0.3">
      <c r="D60" s="48" t="s">
        <v>286</v>
      </c>
      <c r="E60" s="328"/>
      <c r="F60" s="52">
        <f>'Other inputs'!F89</f>
        <v>3.4728150000000002</v>
      </c>
      <c r="G60" s="48" t="s">
        <v>287</v>
      </c>
    </row>
    <row r="61" spans="2:7" s="51" customFormat="1" x14ac:dyDescent="0.3">
      <c r="B61" s="50"/>
      <c r="C61" s="187"/>
      <c r="D61" s="51" t="s">
        <v>288</v>
      </c>
      <c r="E61" s="61"/>
      <c r="F61" s="58">
        <f xml:space="preserve"> F58 * F59 * (F60/100)</f>
        <v>26.0461125</v>
      </c>
      <c r="G61" s="58" t="s">
        <v>277</v>
      </c>
    </row>
    <row r="63" spans="2:7" s="46" customFormat="1" x14ac:dyDescent="0.3">
      <c r="C63" s="188" t="s">
        <v>191</v>
      </c>
      <c r="E63" s="306"/>
      <c r="F63" s="47"/>
    </row>
    <row r="64" spans="2:7" x14ac:dyDescent="0.3">
      <c r="D64" s="48" t="s">
        <v>289</v>
      </c>
      <c r="E64" s="328"/>
      <c r="F64" s="52">
        <f>'Other inputs'!F107</f>
        <v>217.29704250000003</v>
      </c>
      <c r="G64" s="47" t="s">
        <v>290</v>
      </c>
    </row>
    <row r="65" spans="2:7" s="47" customFormat="1" x14ac:dyDescent="0.3">
      <c r="B65" s="46"/>
      <c r="C65" s="188"/>
      <c r="D65" s="47" t="s">
        <v>289</v>
      </c>
      <c r="E65" s="26"/>
      <c r="F65" s="47">
        <f>F64/1000</f>
        <v>0.21729704250000004</v>
      </c>
      <c r="G65" s="47" t="s">
        <v>291</v>
      </c>
    </row>
    <row r="66" spans="2:7" s="47" customFormat="1" ht="5.0999999999999996" customHeight="1" x14ac:dyDescent="0.3">
      <c r="B66" s="46"/>
      <c r="C66" s="188"/>
      <c r="E66" s="26"/>
    </row>
    <row r="67" spans="2:7" s="16" customFormat="1" x14ac:dyDescent="0.3">
      <c r="B67" s="66"/>
      <c r="C67" s="178"/>
      <c r="D67" s="67" t="str">
        <f>'Key inputs &amp; outputs'!D$16</f>
        <v>Number of freight vehicles</v>
      </c>
      <c r="E67" s="67"/>
      <c r="F67" s="67">
        <f>'Key inputs &amp; outputs'!F$16</f>
        <v>5</v>
      </c>
      <c r="G67" s="67" t="str">
        <f>'Key inputs &amp; outputs'!G$16</f>
        <v>vehicles</v>
      </c>
    </row>
    <row r="68" spans="2:7" s="70" customFormat="1" x14ac:dyDescent="0.3">
      <c r="B68" s="68"/>
      <c r="C68" s="189"/>
      <c r="D68" s="69" t="str">
        <f>'Key inputs &amp; outputs'!D$11</f>
        <v>Km of diversion</v>
      </c>
      <c r="E68" s="67"/>
      <c r="F68" s="69">
        <f>'Key inputs &amp; outputs'!F$11</f>
        <v>30</v>
      </c>
      <c r="G68" s="69" t="str">
        <f>'Key inputs &amp; outputs'!G$11</f>
        <v>km</v>
      </c>
    </row>
    <row r="69" spans="2:7" s="70" customFormat="1" x14ac:dyDescent="0.3">
      <c r="B69" s="68"/>
      <c r="C69" s="189"/>
      <c r="D69" s="69" t="str">
        <f>'Key inputs &amp; outputs'!D$17</f>
        <v>Tonnes transported by freight vehicles</v>
      </c>
      <c r="E69" s="67"/>
      <c r="F69" s="69">
        <f>'Key inputs &amp; outputs'!F$17</f>
        <v>50</v>
      </c>
      <c r="G69" s="69" t="str">
        <f>'Key inputs &amp; outputs'!G$17</f>
        <v>tonnes</v>
      </c>
    </row>
    <row r="70" spans="2:7" s="51" customFormat="1" x14ac:dyDescent="0.3">
      <c r="B70" s="50"/>
      <c r="C70" s="187"/>
      <c r="D70" s="51" t="s">
        <v>292</v>
      </c>
      <c r="E70" s="61"/>
      <c r="F70" s="58">
        <f>F67*F68*F65*F69</f>
        <v>1629.7278187500001</v>
      </c>
      <c r="G70" s="211" t="s">
        <v>277</v>
      </c>
    </row>
    <row r="72" spans="2:7" x14ac:dyDescent="0.3">
      <c r="C72" s="177" t="s">
        <v>293</v>
      </c>
    </row>
    <row r="73" spans="2:7" s="85" customFormat="1" x14ac:dyDescent="0.3">
      <c r="B73" s="84"/>
      <c r="C73" s="197"/>
      <c r="D73" s="258" t="str">
        <f xml:space="preserve"> 'Key inputs &amp; outputs'!D$37</f>
        <v>5 Air pollution - sensitivity factor</v>
      </c>
      <c r="E73" s="207"/>
      <c r="F73" s="258">
        <f xml:space="preserve"> 'Key inputs &amp; outputs'!F$37</f>
        <v>1</v>
      </c>
      <c r="G73" s="258" t="str">
        <f xml:space="preserve"> 'Key inputs &amp; outputs'!G$37</f>
        <v>factor</v>
      </c>
    </row>
    <row r="74" spans="2:7" s="93" customFormat="1" x14ac:dyDescent="0.3">
      <c r="B74" s="92"/>
      <c r="C74" s="192"/>
      <c r="D74" s="93" t="str">
        <f xml:space="preserve"> B56</f>
        <v>5 Air pollution</v>
      </c>
      <c r="E74" s="91"/>
      <c r="F74" s="93">
        <f xml:space="preserve"> (F61 + F70) * F73</f>
        <v>1655.77393125</v>
      </c>
      <c r="G74" s="93" t="s">
        <v>277</v>
      </c>
    </row>
    <row r="76" spans="2:7" x14ac:dyDescent="0.3">
      <c r="B76" s="49" t="s">
        <v>177</v>
      </c>
    </row>
    <row r="77" spans="2:7" s="46" customFormat="1" x14ac:dyDescent="0.3">
      <c r="C77" s="188" t="s">
        <v>285</v>
      </c>
      <c r="E77" s="306"/>
      <c r="F77" s="47"/>
    </row>
    <row r="78" spans="2:7" s="70" customFormat="1" x14ac:dyDescent="0.3">
      <c r="B78" s="68"/>
      <c r="C78" s="189"/>
      <c r="D78" s="69" t="str">
        <f>'Key inputs &amp; outputs'!D$14</f>
        <v>Number of vehicles impacted</v>
      </c>
      <c r="E78" s="67"/>
      <c r="F78" s="69">
        <f>'Key inputs &amp; outputs'!F$14</f>
        <v>25</v>
      </c>
      <c r="G78" s="69" t="str">
        <f>'Key inputs &amp; outputs'!G$14</f>
        <v>vehicles</v>
      </c>
    </row>
    <row r="79" spans="2:7" s="70" customFormat="1" x14ac:dyDescent="0.3">
      <c r="B79" s="68"/>
      <c r="C79" s="189"/>
      <c r="D79" s="69" t="str">
        <f>'Key inputs &amp; outputs'!D$11</f>
        <v>Km of diversion</v>
      </c>
      <c r="E79" s="67"/>
      <c r="F79" s="69">
        <f>'Key inputs &amp; outputs'!F$11</f>
        <v>30</v>
      </c>
      <c r="G79" s="69" t="str">
        <f>'Key inputs &amp; outputs'!G$11</f>
        <v>km</v>
      </c>
    </row>
    <row r="80" spans="2:7" x14ac:dyDescent="0.3">
      <c r="D80" s="48" t="s">
        <v>294</v>
      </c>
      <c r="E80" s="328"/>
      <c r="F80" s="52">
        <f>'Other inputs'!F91</f>
        <v>1.1211450000000001</v>
      </c>
      <c r="G80" s="48" t="s">
        <v>287</v>
      </c>
    </row>
    <row r="81" spans="2:7" s="51" customFormat="1" x14ac:dyDescent="0.3">
      <c r="B81" s="50"/>
      <c r="C81" s="187"/>
      <c r="D81" s="51" t="s">
        <v>288</v>
      </c>
      <c r="E81" s="61"/>
      <c r="F81" s="58">
        <f>F78*F79*(F80/100)</f>
        <v>8.4085875000000012</v>
      </c>
      <c r="G81" s="58" t="s">
        <v>277</v>
      </c>
    </row>
    <row r="83" spans="2:7" s="46" customFormat="1" x14ac:dyDescent="0.3">
      <c r="C83" s="188" t="s">
        <v>191</v>
      </c>
      <c r="E83" s="306"/>
      <c r="F83" s="47"/>
    </row>
    <row r="84" spans="2:7" x14ac:dyDescent="0.3">
      <c r="D84" s="48" t="s">
        <v>295</v>
      </c>
      <c r="F84" s="52">
        <f>'Other inputs'!F109</f>
        <v>37.052475000000001</v>
      </c>
      <c r="G84" s="47" t="s">
        <v>290</v>
      </c>
    </row>
    <row r="85" spans="2:7" x14ac:dyDescent="0.3">
      <c r="D85" s="48" t="s">
        <v>295</v>
      </c>
      <c r="F85" s="48">
        <f>F84/1000</f>
        <v>3.7052475000000001E-2</v>
      </c>
      <c r="G85" s="47" t="s">
        <v>291</v>
      </c>
    </row>
    <row r="86" spans="2:7" ht="5.0999999999999996" customHeight="1" x14ac:dyDescent="0.3">
      <c r="G86" s="47"/>
    </row>
    <row r="87" spans="2:7" s="16" customFormat="1" x14ac:dyDescent="0.3">
      <c r="B87" s="66"/>
      <c r="C87" s="178"/>
      <c r="D87" s="67" t="str">
        <f>'Key inputs &amp; outputs'!D$16</f>
        <v>Number of freight vehicles</v>
      </c>
      <c r="E87" s="67"/>
      <c r="F87" s="67">
        <f>'Key inputs &amp; outputs'!F$16</f>
        <v>5</v>
      </c>
      <c r="G87" s="67" t="str">
        <f>'Key inputs &amp; outputs'!G$16</f>
        <v>vehicles</v>
      </c>
    </row>
    <row r="88" spans="2:7" s="70" customFormat="1" x14ac:dyDescent="0.3">
      <c r="B88" s="68"/>
      <c r="C88" s="189"/>
      <c r="D88" s="69" t="str">
        <f>'Key inputs &amp; outputs'!D$11</f>
        <v>Km of diversion</v>
      </c>
      <c r="E88" s="67"/>
      <c r="F88" s="69">
        <f>'Key inputs &amp; outputs'!F$11</f>
        <v>30</v>
      </c>
      <c r="G88" s="69" t="str">
        <f>'Key inputs &amp; outputs'!G$11</f>
        <v>km</v>
      </c>
    </row>
    <row r="89" spans="2:7" s="70" customFormat="1" x14ac:dyDescent="0.3">
      <c r="B89" s="68"/>
      <c r="C89" s="189"/>
      <c r="D89" s="69" t="str">
        <f>'Key inputs &amp; outputs'!D$17</f>
        <v>Tonnes transported by freight vehicles</v>
      </c>
      <c r="E89" s="67"/>
      <c r="F89" s="69">
        <f>'Key inputs &amp; outputs'!F$17</f>
        <v>50</v>
      </c>
      <c r="G89" s="69" t="str">
        <f>'Key inputs &amp; outputs'!G$17</f>
        <v>tonnes</v>
      </c>
    </row>
    <row r="90" spans="2:7" s="58" customFormat="1" x14ac:dyDescent="0.3">
      <c r="B90" s="59"/>
      <c r="C90" s="193"/>
      <c r="D90" s="58" t="s">
        <v>292</v>
      </c>
      <c r="E90" s="307"/>
      <c r="F90" s="58">
        <f>F87*F88*F85*F89</f>
        <v>277.89356249999997</v>
      </c>
      <c r="G90" s="58" t="s">
        <v>277</v>
      </c>
    </row>
    <row r="92" spans="2:7" x14ac:dyDescent="0.3">
      <c r="C92" s="177" t="s">
        <v>293</v>
      </c>
    </row>
    <row r="93" spans="2:7" s="85" customFormat="1" x14ac:dyDescent="0.3">
      <c r="B93" s="84"/>
      <c r="C93" s="197"/>
      <c r="D93" s="258" t="str">
        <f xml:space="preserve"> 'Key inputs &amp; outputs'!D$38</f>
        <v>6 Noise pollution - sensitivity factor</v>
      </c>
      <c r="E93" s="207"/>
      <c r="F93" s="258">
        <f xml:space="preserve"> 'Key inputs &amp; outputs'!F$38</f>
        <v>1</v>
      </c>
      <c r="G93" s="258" t="str">
        <f xml:space="preserve"> 'Key inputs &amp; outputs'!G$38</f>
        <v>factor</v>
      </c>
    </row>
    <row r="94" spans="2:7" s="93" customFormat="1" x14ac:dyDescent="0.3">
      <c r="B94" s="92"/>
      <c r="C94" s="192"/>
      <c r="D94" s="93" t="str">
        <f>B76</f>
        <v>6 Noise pollution</v>
      </c>
      <c r="E94" s="91"/>
      <c r="F94" s="93">
        <f xml:space="preserve"> (F81 + F90) * F93</f>
        <v>286.30214999999998</v>
      </c>
      <c r="G94" s="93" t="s">
        <v>277</v>
      </c>
    </row>
    <row r="95" spans="2:7" x14ac:dyDescent="0.3">
      <c r="F95" s="45"/>
    </row>
    <row r="96" spans="2:7" x14ac:dyDescent="0.3">
      <c r="B96" s="49" t="s">
        <v>178</v>
      </c>
    </row>
    <row r="97" spans="2:7" s="46" customFormat="1" x14ac:dyDescent="0.3">
      <c r="C97" s="188" t="s">
        <v>285</v>
      </c>
      <c r="E97" s="306"/>
      <c r="F97" s="47"/>
    </row>
    <row r="98" spans="2:7" s="70" customFormat="1" x14ac:dyDescent="0.3">
      <c r="B98" s="68"/>
      <c r="C98" s="189"/>
      <c r="D98" s="69" t="str">
        <f>'Key inputs &amp; outputs'!D$14</f>
        <v>Number of vehicles impacted</v>
      </c>
      <c r="E98" s="67"/>
      <c r="F98" s="69">
        <f>'Key inputs &amp; outputs'!F$14</f>
        <v>25</v>
      </c>
      <c r="G98" s="69" t="str">
        <f>'Key inputs &amp; outputs'!G$14</f>
        <v>vehicles</v>
      </c>
    </row>
    <row r="99" spans="2:7" s="70" customFormat="1" x14ac:dyDescent="0.3">
      <c r="B99" s="68"/>
      <c r="C99" s="189"/>
      <c r="D99" s="69" t="str">
        <f>'Key inputs &amp; outputs'!D$11</f>
        <v>Km of diversion</v>
      </c>
      <c r="E99" s="67"/>
      <c r="F99" s="69">
        <f>'Key inputs &amp; outputs'!F$11</f>
        <v>30</v>
      </c>
      <c r="G99" s="69" t="str">
        <f>'Key inputs &amp; outputs'!G$11</f>
        <v>km</v>
      </c>
    </row>
    <row r="100" spans="2:7" x14ac:dyDescent="0.3">
      <c r="D100" s="48" t="s">
        <v>296</v>
      </c>
      <c r="F100" s="52">
        <f>'Other inputs'!F92</f>
        <v>0.51955499999999999</v>
      </c>
      <c r="G100" s="47" t="s">
        <v>297</v>
      </c>
    </row>
    <row r="101" spans="2:7" s="51" customFormat="1" x14ac:dyDescent="0.3">
      <c r="B101" s="50"/>
      <c r="C101" s="187"/>
      <c r="D101" s="51" t="s">
        <v>288</v>
      </c>
      <c r="E101" s="61"/>
      <c r="F101" s="58">
        <f>F98*F99*(F100/100)</f>
        <v>3.8966625000000001</v>
      </c>
      <c r="G101" s="58" t="s">
        <v>277</v>
      </c>
    </row>
    <row r="103" spans="2:7" s="46" customFormat="1" x14ac:dyDescent="0.3">
      <c r="C103" s="188" t="s">
        <v>191</v>
      </c>
      <c r="E103" s="306"/>
      <c r="F103" s="47"/>
    </row>
    <row r="104" spans="2:7" x14ac:dyDescent="0.3">
      <c r="D104" s="48" t="s">
        <v>298</v>
      </c>
      <c r="F104" s="52">
        <f>'Other inputs'!F110</f>
        <v>32.595240000000004</v>
      </c>
      <c r="G104" s="47" t="s">
        <v>290</v>
      </c>
    </row>
    <row r="105" spans="2:7" x14ac:dyDescent="0.3">
      <c r="D105" s="48" t="s">
        <v>298</v>
      </c>
      <c r="F105" s="48">
        <f>F104/1000</f>
        <v>3.2595240000000004E-2</v>
      </c>
      <c r="G105" s="47" t="s">
        <v>291</v>
      </c>
    </row>
    <row r="106" spans="2:7" ht="5.0999999999999996" customHeight="1" x14ac:dyDescent="0.3">
      <c r="G106" s="47"/>
    </row>
    <row r="107" spans="2:7" s="16" customFormat="1" x14ac:dyDescent="0.3">
      <c r="B107" s="66"/>
      <c r="C107" s="178"/>
      <c r="D107" s="67" t="str">
        <f>'Key inputs &amp; outputs'!D$16</f>
        <v>Number of freight vehicles</v>
      </c>
      <c r="E107" s="67"/>
      <c r="F107" s="67">
        <f>'Key inputs &amp; outputs'!F$16</f>
        <v>5</v>
      </c>
      <c r="G107" s="67" t="str">
        <f>'Key inputs &amp; outputs'!G$16</f>
        <v>vehicles</v>
      </c>
    </row>
    <row r="108" spans="2:7" s="70" customFormat="1" x14ac:dyDescent="0.3">
      <c r="B108" s="68"/>
      <c r="C108" s="189"/>
      <c r="D108" s="69" t="str">
        <f>'Key inputs &amp; outputs'!D$11</f>
        <v>Km of diversion</v>
      </c>
      <c r="E108" s="67"/>
      <c r="F108" s="69">
        <f>'Key inputs &amp; outputs'!F$11</f>
        <v>30</v>
      </c>
      <c r="G108" s="69" t="str">
        <f>'Key inputs &amp; outputs'!G$11</f>
        <v>km</v>
      </c>
    </row>
    <row r="109" spans="2:7" s="70" customFormat="1" x14ac:dyDescent="0.3">
      <c r="B109" s="68"/>
      <c r="C109" s="189"/>
      <c r="D109" s="69" t="str">
        <f>'Key inputs &amp; outputs'!D$17</f>
        <v>Tonnes transported by freight vehicles</v>
      </c>
      <c r="E109" s="67"/>
      <c r="F109" s="69">
        <f>'Key inputs &amp; outputs'!F$17</f>
        <v>50</v>
      </c>
      <c r="G109" s="69" t="str">
        <f>'Key inputs &amp; outputs'!G$17</f>
        <v>tonnes</v>
      </c>
    </row>
    <row r="110" spans="2:7" s="51" customFormat="1" x14ac:dyDescent="0.3">
      <c r="B110" s="50"/>
      <c r="C110" s="187"/>
      <c r="D110" s="51" t="s">
        <v>292</v>
      </c>
      <c r="E110" s="61"/>
      <c r="F110" s="58">
        <f>F107*F108*F105*F109</f>
        <v>244.46430000000001</v>
      </c>
      <c r="G110" s="58" t="s">
        <v>277</v>
      </c>
    </row>
    <row r="112" spans="2:7" x14ac:dyDescent="0.3">
      <c r="C112" s="177" t="s">
        <v>293</v>
      </c>
    </row>
    <row r="113" spans="2:7" s="85" customFormat="1" x14ac:dyDescent="0.3">
      <c r="B113" s="84"/>
      <c r="C113" s="197"/>
      <c r="D113" s="258" t="str">
        <f xml:space="preserve"> 'Key inputs &amp; outputs'!D$39</f>
        <v>7 Water pollution - sensitivity factor</v>
      </c>
      <c r="E113" s="207"/>
      <c r="F113" s="258">
        <f xml:space="preserve"> 'Key inputs &amp; outputs'!F$39</f>
        <v>1</v>
      </c>
      <c r="G113" s="258" t="str">
        <f xml:space="preserve"> 'Key inputs &amp; outputs'!G$39</f>
        <v>factor</v>
      </c>
    </row>
    <row r="114" spans="2:7" s="93" customFormat="1" x14ac:dyDescent="0.3">
      <c r="B114" s="92"/>
      <c r="C114" s="192"/>
      <c r="D114" s="93" t="str">
        <f>B96</f>
        <v>7 Water pollution</v>
      </c>
      <c r="E114" s="91"/>
      <c r="F114" s="93">
        <f xml:space="preserve"> (F101 + F110) * F113</f>
        <v>248.3609625</v>
      </c>
      <c r="G114" s="93" t="s">
        <v>277</v>
      </c>
    </row>
    <row r="115" spans="2:7" x14ac:dyDescent="0.3">
      <c r="F115" s="45"/>
    </row>
    <row r="116" spans="2:7" x14ac:dyDescent="0.3">
      <c r="B116" s="49" t="s">
        <v>179</v>
      </c>
    </row>
    <row r="117" spans="2:7" s="46" customFormat="1" x14ac:dyDescent="0.3">
      <c r="C117" s="188" t="s">
        <v>285</v>
      </c>
      <c r="E117" s="306"/>
      <c r="F117" s="47"/>
    </row>
    <row r="118" spans="2:7" s="70" customFormat="1" x14ac:dyDescent="0.3">
      <c r="B118" s="68"/>
      <c r="C118" s="189"/>
      <c r="D118" s="69" t="str">
        <f>'Key inputs &amp; outputs'!D$14</f>
        <v>Number of vehicles impacted</v>
      </c>
      <c r="E118" s="67"/>
      <c r="F118" s="69">
        <f>'Key inputs &amp; outputs'!F$14</f>
        <v>25</v>
      </c>
      <c r="G118" s="69" t="str">
        <f>'Key inputs &amp; outputs'!G$14</f>
        <v>vehicles</v>
      </c>
    </row>
    <row r="119" spans="2:7" s="70" customFormat="1" x14ac:dyDescent="0.3">
      <c r="B119" s="68"/>
      <c r="C119" s="189"/>
      <c r="D119" s="69" t="str">
        <f>'Key inputs &amp; outputs'!D$11</f>
        <v>Km of diversion</v>
      </c>
      <c r="E119" s="67"/>
      <c r="F119" s="69">
        <f>'Key inputs &amp; outputs'!F$11</f>
        <v>30</v>
      </c>
      <c r="G119" s="69" t="str">
        <f>'Key inputs &amp; outputs'!G$11</f>
        <v>km</v>
      </c>
    </row>
    <row r="120" spans="2:7" x14ac:dyDescent="0.3">
      <c r="D120" s="48" t="s">
        <v>299</v>
      </c>
      <c r="F120" s="52">
        <f>'Other inputs'!F90</f>
        <v>2.7345000000000002</v>
      </c>
      <c r="G120" s="48" t="s">
        <v>287</v>
      </c>
    </row>
    <row r="121" spans="2:7" s="250" customFormat="1" x14ac:dyDescent="0.3">
      <c r="B121" s="251"/>
      <c r="C121" s="252"/>
      <c r="D121" s="250" t="s">
        <v>288</v>
      </c>
      <c r="E121" s="307"/>
      <c r="F121" s="250">
        <f>F118*F119*(F120/100)</f>
        <v>20.508750000000003</v>
      </c>
      <c r="G121" s="250" t="s">
        <v>277</v>
      </c>
    </row>
    <row r="123" spans="2:7" s="46" customFormat="1" x14ac:dyDescent="0.3">
      <c r="C123" s="188" t="s">
        <v>191</v>
      </c>
      <c r="E123" s="306"/>
      <c r="F123" s="47"/>
    </row>
    <row r="124" spans="2:7" x14ac:dyDescent="0.3">
      <c r="D124" s="48" t="s">
        <v>300</v>
      </c>
      <c r="F124" s="52">
        <f>'Other inputs'!F108</f>
        <v>67.678875000000005</v>
      </c>
      <c r="G124" s="48" t="s">
        <v>290</v>
      </c>
    </row>
    <row r="125" spans="2:7" x14ac:dyDescent="0.3">
      <c r="D125" s="48" t="s">
        <v>300</v>
      </c>
      <c r="F125" s="48">
        <f>F124/1000</f>
        <v>6.7678874999999999E-2</v>
      </c>
      <c r="G125" s="48" t="s">
        <v>291</v>
      </c>
    </row>
    <row r="126" spans="2:7" ht="5.0999999999999996" customHeight="1" x14ac:dyDescent="0.3"/>
    <row r="127" spans="2:7" s="16" customFormat="1" x14ac:dyDescent="0.3">
      <c r="B127" s="66"/>
      <c r="C127" s="178"/>
      <c r="D127" s="67" t="str">
        <f>'Key inputs &amp; outputs'!D$16</f>
        <v>Number of freight vehicles</v>
      </c>
      <c r="E127" s="67"/>
      <c r="F127" s="67">
        <f>'Key inputs &amp; outputs'!F$16</f>
        <v>5</v>
      </c>
      <c r="G127" s="67" t="str">
        <f>'Key inputs &amp; outputs'!G$16</f>
        <v>vehicles</v>
      </c>
    </row>
    <row r="128" spans="2:7" s="70" customFormat="1" x14ac:dyDescent="0.3">
      <c r="B128" s="68"/>
      <c r="C128" s="189"/>
      <c r="D128" s="69" t="str">
        <f>'Key inputs &amp; outputs'!D$11</f>
        <v>Km of diversion</v>
      </c>
      <c r="E128" s="67"/>
      <c r="F128" s="69">
        <f>'Key inputs &amp; outputs'!F$11</f>
        <v>30</v>
      </c>
      <c r="G128" s="69" t="str">
        <f>'Key inputs &amp; outputs'!G$11</f>
        <v>km</v>
      </c>
    </row>
    <row r="129" spans="2:7" s="70" customFormat="1" x14ac:dyDescent="0.3">
      <c r="B129" s="68"/>
      <c r="C129" s="189"/>
      <c r="D129" s="69" t="str">
        <f>'Key inputs &amp; outputs'!D$17</f>
        <v>Tonnes transported by freight vehicles</v>
      </c>
      <c r="E129" s="67"/>
      <c r="F129" s="69">
        <f>'Key inputs &amp; outputs'!F$17</f>
        <v>50</v>
      </c>
      <c r="G129" s="69" t="str">
        <f>'Key inputs &amp; outputs'!G$17</f>
        <v>tonnes</v>
      </c>
    </row>
    <row r="130" spans="2:7" s="253" customFormat="1" x14ac:dyDescent="0.3">
      <c r="B130" s="254"/>
      <c r="C130" s="255"/>
      <c r="D130" s="253" t="s">
        <v>292</v>
      </c>
      <c r="E130" s="61"/>
      <c r="F130" s="250">
        <f>F125*F127*F128*F129</f>
        <v>507.59156250000001</v>
      </c>
      <c r="G130" s="250" t="s">
        <v>277</v>
      </c>
    </row>
    <row r="132" spans="2:7" x14ac:dyDescent="0.3">
      <c r="C132" s="177" t="s">
        <v>293</v>
      </c>
    </row>
    <row r="133" spans="2:7" s="85" customFormat="1" x14ac:dyDescent="0.3">
      <c r="B133" s="84"/>
      <c r="C133" s="197"/>
      <c r="D133" s="258" t="str">
        <f xml:space="preserve"> 'Key inputs &amp; outputs'!D$40</f>
        <v>8 GHG emissions - sensitivity factor</v>
      </c>
      <c r="E133" s="207"/>
      <c r="F133" s="258">
        <f xml:space="preserve"> 'Key inputs &amp; outputs'!F$40</f>
        <v>1</v>
      </c>
      <c r="G133" s="258" t="str">
        <f xml:space="preserve"> 'Key inputs &amp; outputs'!G$40</f>
        <v>factor</v>
      </c>
    </row>
    <row r="134" spans="2:7" s="93" customFormat="1" x14ac:dyDescent="0.3">
      <c r="B134" s="92"/>
      <c r="C134" s="192"/>
      <c r="D134" s="93" t="str">
        <f>B116</f>
        <v>8 GHG emissions</v>
      </c>
      <c r="E134" s="91"/>
      <c r="F134" s="93">
        <f xml:space="preserve"> (F121 + F130) * F133</f>
        <v>528.10031249999997</v>
      </c>
      <c r="G134" s="93" t="s">
        <v>277</v>
      </c>
    </row>
    <row r="135" spans="2:7" x14ac:dyDescent="0.3">
      <c r="F135" s="45"/>
    </row>
    <row r="136" spans="2:7" x14ac:dyDescent="0.3">
      <c r="B136" s="49" t="s">
        <v>180</v>
      </c>
      <c r="C136" s="187"/>
    </row>
    <row r="137" spans="2:7" s="46" customFormat="1" x14ac:dyDescent="0.3">
      <c r="C137" s="194" t="s">
        <v>285</v>
      </c>
      <c r="E137" s="306"/>
      <c r="F137" s="47"/>
    </row>
    <row r="138" spans="2:7" s="70" customFormat="1" x14ac:dyDescent="0.3">
      <c r="B138" s="68"/>
      <c r="C138" s="189"/>
      <c r="D138" s="69" t="str">
        <f>'Key inputs &amp; outputs'!D$14</f>
        <v>Number of vehicles impacted</v>
      </c>
      <c r="E138" s="67"/>
      <c r="F138" s="69">
        <f>'Key inputs &amp; outputs'!F$14</f>
        <v>25</v>
      </c>
      <c r="G138" s="69" t="str">
        <f>'Key inputs &amp; outputs'!G$14</f>
        <v>vehicles</v>
      </c>
    </row>
    <row r="139" spans="2:7" s="70" customFormat="1" x14ac:dyDescent="0.3">
      <c r="B139" s="68"/>
      <c r="C139" s="189"/>
      <c r="D139" s="69" t="str">
        <f>'Key inputs &amp; outputs'!D$11</f>
        <v>Km of diversion</v>
      </c>
      <c r="E139" s="67"/>
      <c r="F139" s="69">
        <f>'Key inputs &amp; outputs'!F$11</f>
        <v>30</v>
      </c>
      <c r="G139" s="69" t="str">
        <f>'Key inputs &amp; outputs'!G$11</f>
        <v>km</v>
      </c>
    </row>
    <row r="140" spans="2:7" x14ac:dyDescent="0.3">
      <c r="C140" s="187"/>
      <c r="D140" s="48" t="s">
        <v>301</v>
      </c>
      <c r="F140" s="52">
        <f>'Other inputs'!F93</f>
        <v>6.8362500000000007E-2</v>
      </c>
      <c r="G140" s="48" t="s">
        <v>287</v>
      </c>
    </row>
    <row r="141" spans="2:7" s="51" customFormat="1" x14ac:dyDescent="0.3">
      <c r="B141" s="50"/>
      <c r="C141" s="187"/>
      <c r="D141" s="51" t="s">
        <v>288</v>
      </c>
      <c r="E141" s="61"/>
      <c r="F141" s="58">
        <f>F138*F139*(F140/100)</f>
        <v>0.51271875000000011</v>
      </c>
      <c r="G141" s="58" t="s">
        <v>277</v>
      </c>
    </row>
    <row r="142" spans="2:7" x14ac:dyDescent="0.3">
      <c r="C142" s="187"/>
    </row>
    <row r="143" spans="2:7" s="46" customFormat="1" x14ac:dyDescent="0.3">
      <c r="C143" s="194" t="s">
        <v>191</v>
      </c>
      <c r="E143" s="306"/>
      <c r="F143" s="47"/>
    </row>
    <row r="144" spans="2:7" x14ac:dyDescent="0.3">
      <c r="C144" s="187"/>
      <c r="D144" s="48" t="s">
        <v>302</v>
      </c>
      <c r="F144" s="52">
        <f>'Other inputs'!F111</f>
        <v>24.172980000000003</v>
      </c>
      <c r="G144" s="48" t="s">
        <v>290</v>
      </c>
    </row>
    <row r="145" spans="2:7" x14ac:dyDescent="0.3">
      <c r="C145" s="187"/>
      <c r="D145" s="48" t="s">
        <v>302</v>
      </c>
      <c r="F145" s="48">
        <f>F144/1000</f>
        <v>2.4172980000000004E-2</v>
      </c>
      <c r="G145" s="48" t="s">
        <v>291</v>
      </c>
    </row>
    <row r="146" spans="2:7" ht="5.0999999999999996" customHeight="1" x14ac:dyDescent="0.3">
      <c r="C146" s="187"/>
    </row>
    <row r="147" spans="2:7" s="70" customFormat="1" x14ac:dyDescent="0.3">
      <c r="B147" s="68"/>
      <c r="C147" s="189"/>
      <c r="D147" s="69" t="str">
        <f>'Key inputs &amp; outputs'!D$16</f>
        <v>Number of freight vehicles</v>
      </c>
      <c r="E147" s="67"/>
      <c r="F147" s="69">
        <f>'Key inputs &amp; outputs'!F$16</f>
        <v>5</v>
      </c>
      <c r="G147" s="69" t="str">
        <f>'Key inputs &amp; outputs'!G$16</f>
        <v>vehicles</v>
      </c>
    </row>
    <row r="148" spans="2:7" s="70" customFormat="1" x14ac:dyDescent="0.3">
      <c r="B148" s="68"/>
      <c r="C148" s="189"/>
      <c r="D148" s="69" t="str">
        <f>'Key inputs &amp; outputs'!D$11</f>
        <v>Km of diversion</v>
      </c>
      <c r="E148" s="67"/>
      <c r="F148" s="69">
        <f>'Key inputs &amp; outputs'!F$11</f>
        <v>30</v>
      </c>
      <c r="G148" s="69" t="str">
        <f>'Key inputs &amp; outputs'!G$11</f>
        <v>km</v>
      </c>
    </row>
    <row r="149" spans="2:7" s="70" customFormat="1" x14ac:dyDescent="0.3">
      <c r="B149" s="68"/>
      <c r="C149" s="189"/>
      <c r="D149" s="69" t="str">
        <f>'Key inputs &amp; outputs'!D$17</f>
        <v>Tonnes transported by freight vehicles</v>
      </c>
      <c r="E149" s="67"/>
      <c r="F149" s="69">
        <f>'Key inputs &amp; outputs'!F$17</f>
        <v>50</v>
      </c>
      <c r="G149" s="69" t="str">
        <f>'Key inputs &amp; outputs'!G$17</f>
        <v>tonnes</v>
      </c>
    </row>
    <row r="150" spans="2:7" s="51" customFormat="1" x14ac:dyDescent="0.3">
      <c r="B150" s="50"/>
      <c r="C150" s="187"/>
      <c r="D150" s="51" t="s">
        <v>292</v>
      </c>
      <c r="E150" s="61"/>
      <c r="F150" s="58">
        <f>F147*F148*F145*F149</f>
        <v>181.29735000000002</v>
      </c>
      <c r="G150" s="58" t="s">
        <v>277</v>
      </c>
    </row>
    <row r="151" spans="2:7" x14ac:dyDescent="0.3">
      <c r="C151" s="187"/>
    </row>
    <row r="152" spans="2:7" x14ac:dyDescent="0.3">
      <c r="C152" s="187" t="s">
        <v>293</v>
      </c>
    </row>
    <row r="153" spans="2:7" s="85" customFormat="1" x14ac:dyDescent="0.3">
      <c r="B153" s="84"/>
      <c r="C153" s="197"/>
      <c r="D153" s="258" t="str">
        <f xml:space="preserve"> 'Key inputs &amp; outputs'!D$41</f>
        <v>9 Nature and landscape - sensitivity factor</v>
      </c>
      <c r="E153" s="207"/>
      <c r="F153" s="258">
        <f xml:space="preserve"> 'Key inputs &amp; outputs'!F$41</f>
        <v>1</v>
      </c>
      <c r="G153" s="258" t="str">
        <f xml:space="preserve"> 'Key inputs &amp; outputs'!G$41</f>
        <v>factor</v>
      </c>
    </row>
    <row r="154" spans="2:7" s="93" customFormat="1" x14ac:dyDescent="0.3">
      <c r="B154" s="92"/>
      <c r="C154" s="195"/>
      <c r="D154" s="93" t="str">
        <f>B136</f>
        <v>9 Nature and landscape</v>
      </c>
      <c r="E154" s="91"/>
      <c r="F154" s="93">
        <f xml:space="preserve"> (F141 + F150) * F153</f>
        <v>181.81006875000003</v>
      </c>
      <c r="G154" s="93" t="s">
        <v>277</v>
      </c>
    </row>
    <row r="155" spans="2:7" x14ac:dyDescent="0.3">
      <c r="C155" s="187"/>
      <c r="F155" s="45"/>
    </row>
    <row r="156" spans="2:7" x14ac:dyDescent="0.3">
      <c r="B156" s="46" t="s">
        <v>201</v>
      </c>
      <c r="C156" s="187"/>
    </row>
    <row r="157" spans="2:7" s="10" customFormat="1" x14ac:dyDescent="0.3">
      <c r="B157" s="15"/>
      <c r="C157" s="295"/>
      <c r="D157" s="38" t="str">
        <f xml:space="preserve"> 'Key inputs &amp; outputs'!D$22</f>
        <v>Crop and fruit revenue - list number</v>
      </c>
      <c r="E157" s="207"/>
      <c r="F157" s="38">
        <f xml:space="preserve"> 'Key inputs &amp; outputs'!F$22</f>
        <v>1</v>
      </c>
      <c r="G157" s="38" t="str">
        <f xml:space="preserve"> 'Key inputs &amp; outputs'!G$22</f>
        <v>list number</v>
      </c>
    </row>
    <row r="158" spans="2:7" s="25" customFormat="1" ht="5.0999999999999996" customHeight="1" x14ac:dyDescent="0.3">
      <c r="B158" s="53"/>
      <c r="C158" s="182"/>
      <c r="E158" s="29"/>
    </row>
    <row r="159" spans="2:7" s="25" customFormat="1" x14ac:dyDescent="0.3">
      <c r="B159" s="53"/>
      <c r="C159" s="182"/>
      <c r="D159" s="244" t="str">
        <f xml:space="preserve"> 'Key inputs &amp; outputs'!D$23</f>
        <v xml:space="preserve">Crop and fruit revenue - Lost market access per day (%) </v>
      </c>
      <c r="E159" s="207"/>
      <c r="F159" s="244">
        <f xml:space="preserve"> 'Key inputs &amp; outputs'!F$23</f>
        <v>0.02</v>
      </c>
      <c r="G159" s="244" t="str">
        <f xml:space="preserve"> 'Key inputs &amp; outputs'!G$23</f>
        <v>%</v>
      </c>
    </row>
    <row r="160" spans="2:7" x14ac:dyDescent="0.3">
      <c r="B160" s="46"/>
      <c r="C160" s="187"/>
      <c r="D160" s="47" t="s">
        <v>303</v>
      </c>
      <c r="E160" s="26"/>
      <c r="F160" s="24" cm="1">
        <f t="array" ref="F160" xml:space="preserve"> INDEX('Other inputs'!$F$126:$F$160, 'Non-road benefits calcs'!$F$157 + 1)</f>
        <v>15.9306</v>
      </c>
      <c r="G160" s="25" t="s">
        <v>304</v>
      </c>
    </row>
    <row r="161" spans="2:7" s="25" customFormat="1" x14ac:dyDescent="0.3">
      <c r="B161" s="53"/>
      <c r="C161" s="182"/>
      <c r="D161" s="25" t="s">
        <v>305</v>
      </c>
      <c r="E161" s="29"/>
      <c r="F161" s="25">
        <f>F160*$F$159</f>
        <v>0.31861200000000001</v>
      </c>
      <c r="G161" s="25" t="s">
        <v>304</v>
      </c>
    </row>
    <row r="162" spans="2:7" s="25" customFormat="1" ht="5.0999999999999996" customHeight="1" x14ac:dyDescent="0.3">
      <c r="B162" s="53"/>
      <c r="C162" s="182"/>
      <c r="E162" s="29"/>
    </row>
    <row r="163" spans="2:7" s="19" customFormat="1" x14ac:dyDescent="0.3">
      <c r="B163" s="21"/>
      <c r="C163" s="155"/>
      <c r="D163" s="10" t="s">
        <v>306</v>
      </c>
      <c r="E163" s="26"/>
      <c r="F163" s="38" cm="1">
        <f t="array" ref="F163" xml:space="preserve"> INDEX('Other inputs'!$I$126:$I$160, 'Non-road benefits calcs'!$F$157 + 1)</f>
        <v>1025.5594999999998</v>
      </c>
      <c r="G163" s="19" t="s">
        <v>307</v>
      </c>
    </row>
    <row r="164" spans="2:7" s="87" customFormat="1" x14ac:dyDescent="0.3">
      <c r="B164" s="98"/>
      <c r="C164" s="196"/>
      <c r="D164" s="222" t="str">
        <f xml:space="preserve"> 'Other inputs'!D$162</f>
        <v>Number of ha considered by agricultural production</v>
      </c>
      <c r="E164" s="207"/>
      <c r="F164" s="222">
        <f xml:space="preserve"> 'Other inputs'!F$162</f>
        <v>50</v>
      </c>
      <c r="G164" s="222" t="str">
        <f xml:space="preserve"> 'Other inputs'!G$162</f>
        <v>ha</v>
      </c>
    </row>
    <row r="165" spans="2:7" s="85" customFormat="1" x14ac:dyDescent="0.3">
      <c r="B165" s="84"/>
      <c r="C165" s="197"/>
      <c r="D165" s="258" t="str">
        <f xml:space="preserve"> 'Key inputs &amp; outputs'!D$42</f>
        <v>10 Crop and fruit revenue - sensitivity factor</v>
      </c>
      <c r="E165" s="207"/>
      <c r="F165" s="258">
        <f xml:space="preserve"> 'Key inputs &amp; outputs'!F$42</f>
        <v>1</v>
      </c>
      <c r="G165" s="258" t="str">
        <f xml:space="preserve"> 'Key inputs &amp; outputs'!G$42</f>
        <v>factor</v>
      </c>
    </row>
    <row r="166" spans="2:7" s="95" customFormat="1" x14ac:dyDescent="0.3">
      <c r="B166" s="94"/>
      <c r="C166" s="195"/>
      <c r="D166" s="95" t="str">
        <f xml:space="preserve"> B156</f>
        <v>10 Crop and fruit revenue</v>
      </c>
      <c r="E166" s="308"/>
      <c r="F166" s="95">
        <f xml:space="preserve"> F161 * F163 * F164 * F165</f>
        <v>16337.778170699998</v>
      </c>
      <c r="G166" s="95" t="s">
        <v>277</v>
      </c>
    </row>
    <row r="167" spans="2:7" x14ac:dyDescent="0.3">
      <c r="B167" s="46"/>
    </row>
    <row r="168" spans="2:7" x14ac:dyDescent="0.3">
      <c r="B168" s="49" t="s">
        <v>242</v>
      </c>
    </row>
    <row r="169" spans="2:7" x14ac:dyDescent="0.3">
      <c r="D169" s="24" t="str">
        <f xml:space="preserve"> 'Key inputs &amp; outputs'!D$25</f>
        <v>Kg of fish transported</v>
      </c>
      <c r="E169" s="207"/>
      <c r="F169" s="24">
        <f xml:space="preserve"> 'Key inputs &amp; outputs'!F$25</f>
        <v>50</v>
      </c>
      <c r="G169" s="24" t="str">
        <f xml:space="preserve"> 'Key inputs &amp; outputs'!G$25</f>
        <v>kg</v>
      </c>
    </row>
    <row r="170" spans="2:7" x14ac:dyDescent="0.3">
      <c r="D170" s="24" t="str">
        <f xml:space="preserve"> 'Other inputs'!D$167</f>
        <v>Production value</v>
      </c>
      <c r="E170" s="207"/>
      <c r="F170" s="24">
        <f xml:space="preserve"> 'Other inputs'!F$167</f>
        <v>70</v>
      </c>
      <c r="G170" s="24" t="str">
        <f xml:space="preserve"> 'Other inputs'!G$167</f>
        <v>AUD/kg</v>
      </c>
    </row>
    <row r="171" spans="2:7" x14ac:dyDescent="0.3">
      <c r="D171" s="244" t="str">
        <f xml:space="preserve"> 'Other inputs'!D$169</f>
        <v xml:space="preserve">Fish revenue - Lost market Access per day (%) </v>
      </c>
      <c r="E171" s="207"/>
      <c r="F171" s="244">
        <f xml:space="preserve"> 'Other inputs'!F$169</f>
        <v>0.02</v>
      </c>
      <c r="G171" s="244" t="str">
        <f xml:space="preserve"> 'Other inputs'!G$169</f>
        <v>%</v>
      </c>
    </row>
    <row r="172" spans="2:7" s="85" customFormat="1" x14ac:dyDescent="0.3">
      <c r="B172" s="84"/>
      <c r="C172" s="197"/>
      <c r="D172" s="258" t="str">
        <f xml:space="preserve"> 'Key inputs &amp; outputs'!D$43</f>
        <v>11 Fish revenue - sensitivity factor</v>
      </c>
      <c r="E172" s="207"/>
      <c r="F172" s="258">
        <f xml:space="preserve"> 'Key inputs &amp; outputs'!F$43</f>
        <v>1</v>
      </c>
      <c r="G172" s="258" t="str">
        <f xml:space="preserve"> 'Key inputs &amp; outputs'!G$43</f>
        <v>factor</v>
      </c>
    </row>
    <row r="173" spans="2:7" s="95" customFormat="1" x14ac:dyDescent="0.3">
      <c r="B173" s="94"/>
      <c r="C173" s="195"/>
      <c r="D173" s="95" t="str">
        <f xml:space="preserve"> B168</f>
        <v xml:space="preserve">11 Fish revenue </v>
      </c>
      <c r="E173" s="308"/>
      <c r="F173" s="95">
        <f xml:space="preserve"> F169 * F170 * F171 * F172</f>
        <v>70</v>
      </c>
      <c r="G173" s="95" t="s">
        <v>277</v>
      </c>
    </row>
    <row r="175" spans="2:7" x14ac:dyDescent="0.3">
      <c r="B175" s="46" t="s">
        <v>247</v>
      </c>
    </row>
    <row r="176" spans="2:7" s="46" customFormat="1" x14ac:dyDescent="0.3">
      <c r="C176" s="188"/>
      <c r="D176" s="290" t="s">
        <v>308</v>
      </c>
      <c r="E176" s="309"/>
      <c r="F176" s="38"/>
    </row>
    <row r="177" spans="2:7" s="9" customFormat="1" x14ac:dyDescent="0.3">
      <c r="B177" s="15"/>
      <c r="C177" s="267"/>
      <c r="D177" s="38" t="str">
        <f xml:space="preserve"> 'Key inputs &amp; outputs'!D$28</f>
        <v>Livestock revenue - list number</v>
      </c>
      <c r="E177" s="207"/>
      <c r="F177" s="38">
        <f xml:space="preserve"> 'Key inputs &amp; outputs'!F$28</f>
        <v>1</v>
      </c>
      <c r="G177" s="38" t="str">
        <f xml:space="preserve"> 'Key inputs &amp; outputs'!G$28</f>
        <v>list number</v>
      </c>
    </row>
    <row r="178" spans="2:7" s="25" customFormat="1" ht="5.0999999999999996" customHeight="1" x14ac:dyDescent="0.3">
      <c r="B178" s="53"/>
      <c r="C178" s="182"/>
      <c r="E178" s="29"/>
    </row>
    <row r="179" spans="2:7" s="19" customFormat="1" x14ac:dyDescent="0.3">
      <c r="B179" s="21"/>
      <c r="C179" s="155"/>
      <c r="D179" s="19" t="s">
        <v>309</v>
      </c>
      <c r="E179" s="29"/>
      <c r="F179" s="38" cm="1">
        <f t="array" ref="F179" xml:space="preserve"> INDEX('Other inputs'!$I$177:$I$183, 'Non-road benefits calcs'!F$177 + 1)</f>
        <v>4290398557.0249996</v>
      </c>
      <c r="G179" s="19" t="s">
        <v>253</v>
      </c>
    </row>
    <row r="180" spans="2:7" s="19" customFormat="1" x14ac:dyDescent="0.3">
      <c r="B180" s="21"/>
      <c r="C180" s="155"/>
      <c r="D180" s="19" t="s">
        <v>310</v>
      </c>
      <c r="E180" s="29"/>
      <c r="F180" s="38" cm="1">
        <f t="array" ref="F180" xml:space="preserve"> INDEX('Other inputs'!$F$177:$F$183, 'Non-road benefits calcs'!F$177 + 1)</f>
        <v>8695800</v>
      </c>
      <c r="G180" s="268" t="s">
        <v>251</v>
      </c>
    </row>
    <row r="181" spans="2:7" s="25" customFormat="1" x14ac:dyDescent="0.3">
      <c r="B181" s="53"/>
      <c r="C181" s="182"/>
      <c r="D181" s="25" t="s">
        <v>243</v>
      </c>
      <c r="E181" s="29"/>
      <c r="F181" s="25">
        <f xml:space="preserve"> F179 / F180</f>
        <v>493.38744647128493</v>
      </c>
      <c r="G181" s="25" t="s">
        <v>311</v>
      </c>
    </row>
    <row r="182" spans="2:7" s="25" customFormat="1" ht="5.0999999999999996" customHeight="1" x14ac:dyDescent="0.3">
      <c r="B182" s="53"/>
      <c r="C182" s="182"/>
      <c r="D182" s="47"/>
      <c r="E182" s="26"/>
    </row>
    <row r="183" spans="2:7" s="25" customFormat="1" x14ac:dyDescent="0.3">
      <c r="B183" s="53"/>
      <c r="C183" s="182"/>
      <c r="D183" s="244" t="str">
        <f xml:space="preserve"> 'Key inputs &amp; outputs'!D$29</f>
        <v xml:space="preserve">Livestock revenue - Lost market access per day (%) </v>
      </c>
      <c r="E183" s="207"/>
      <c r="F183" s="244">
        <f xml:space="preserve"> 'Key inputs &amp; outputs'!F$29</f>
        <v>0.02</v>
      </c>
      <c r="G183" s="244" t="str">
        <f xml:space="preserve"> 'Key inputs &amp; outputs'!G$29</f>
        <v>%</v>
      </c>
    </row>
    <row r="184" spans="2:7" s="25" customFormat="1" x14ac:dyDescent="0.3">
      <c r="B184" s="53"/>
      <c r="C184" s="182"/>
      <c r="D184" s="24" t="str">
        <f xml:space="preserve"> 'Other inputs'!D$200</f>
        <v>Meat, cattle</v>
      </c>
      <c r="E184" s="207"/>
      <c r="F184" s="24">
        <f xml:space="preserve"> 'Other inputs'!F$200</f>
        <v>50</v>
      </c>
      <c r="G184" s="24" t="str">
        <f xml:space="preserve"> 'Other inputs'!G$200</f>
        <v>Number of animals</v>
      </c>
    </row>
    <row r="185" spans="2:7" s="25" customFormat="1" ht="5.0999999999999996" customHeight="1" x14ac:dyDescent="0.3">
      <c r="B185" s="53"/>
      <c r="C185" s="182"/>
      <c r="D185" s="47"/>
      <c r="E185" s="26"/>
    </row>
    <row r="186" spans="2:7" s="55" customFormat="1" x14ac:dyDescent="0.3">
      <c r="B186" s="54"/>
      <c r="C186" s="187"/>
      <c r="D186" s="55" t="s">
        <v>312</v>
      </c>
      <c r="E186" s="310"/>
      <c r="F186" s="55">
        <f xml:space="preserve"> F181 * F183 * F184</f>
        <v>493.38744647128499</v>
      </c>
      <c r="G186" s="55" t="s">
        <v>277</v>
      </c>
    </row>
    <row r="187" spans="2:7" x14ac:dyDescent="0.3">
      <c r="B187" s="46"/>
    </row>
    <row r="188" spans="2:7" s="46" customFormat="1" x14ac:dyDescent="0.3">
      <c r="C188" s="188" t="s">
        <v>313</v>
      </c>
      <c r="E188" s="306"/>
    </row>
    <row r="189" spans="2:7" x14ac:dyDescent="0.3">
      <c r="D189" s="24" t="str">
        <f xml:space="preserve"> 'Key inputs &amp; outputs'!D$30</f>
        <v>Number of vehicles carrying livestock</v>
      </c>
      <c r="E189" s="207"/>
      <c r="F189" s="24">
        <f xml:space="preserve"> 'Key inputs &amp; outputs'!F$30</f>
        <v>20</v>
      </c>
      <c r="G189" s="52" t="str">
        <f xml:space="preserve"> 'Key inputs &amp; outputs'!G$30</f>
        <v>vehicles</v>
      </c>
    </row>
    <row r="190" spans="2:7" s="70" customFormat="1" x14ac:dyDescent="0.3">
      <c r="B190" s="68"/>
      <c r="C190" s="189"/>
      <c r="D190" s="69" t="str">
        <f>'Key inputs &amp; outputs'!D$11</f>
        <v>Km of diversion</v>
      </c>
      <c r="E190" s="67"/>
      <c r="F190" s="69">
        <f>'Key inputs &amp; outputs'!F$11</f>
        <v>30</v>
      </c>
      <c r="G190" s="69" t="str">
        <f>'Key inputs &amp; outputs'!G$11</f>
        <v>km</v>
      </c>
    </row>
    <row r="191" spans="2:7" s="85" customFormat="1" x14ac:dyDescent="0.3">
      <c r="B191" s="84"/>
      <c r="C191" s="197"/>
      <c r="D191" s="208" t="s">
        <v>313</v>
      </c>
      <c r="E191" s="26"/>
      <c r="F191" s="86">
        <f>'Other inputs'!G195</f>
        <v>1.0910655</v>
      </c>
      <c r="G191" s="208" t="s">
        <v>261</v>
      </c>
    </row>
    <row r="192" spans="2:7" x14ac:dyDescent="0.3">
      <c r="D192" s="49" t="s">
        <v>313</v>
      </c>
      <c r="E192" s="66"/>
      <c r="F192" s="48">
        <f>F189*F190*F191</f>
        <v>654.63930000000005</v>
      </c>
      <c r="G192" s="48" t="s">
        <v>277</v>
      </c>
    </row>
    <row r="194" spans="2:7" x14ac:dyDescent="0.3">
      <c r="C194" s="177" t="s">
        <v>293</v>
      </c>
    </row>
    <row r="195" spans="2:7" s="85" customFormat="1" x14ac:dyDescent="0.3">
      <c r="B195" s="84"/>
      <c r="C195" s="197"/>
      <c r="D195" s="258" t="str">
        <f xml:space="preserve"> 'Key inputs &amp; outputs'!D$44</f>
        <v>12 Livestock revenue - sensitivity factor</v>
      </c>
      <c r="E195" s="207"/>
      <c r="F195" s="258">
        <f xml:space="preserve"> 'Key inputs &amp; outputs'!F$44</f>
        <v>1</v>
      </c>
      <c r="G195" s="258" t="str">
        <f xml:space="preserve"> 'Key inputs &amp; outputs'!G$44</f>
        <v>factor</v>
      </c>
    </row>
    <row r="196" spans="2:7" s="95" customFormat="1" x14ac:dyDescent="0.3">
      <c r="B196" s="94"/>
      <c r="C196" s="195"/>
      <c r="D196" s="95" t="str">
        <f>B175</f>
        <v xml:space="preserve">12 Livestock revenue </v>
      </c>
      <c r="E196" s="308"/>
      <c r="F196" s="95">
        <f xml:space="preserve"> (F186 + F192) * F195</f>
        <v>1148.0267464712852</v>
      </c>
      <c r="G196" s="95" t="s">
        <v>277</v>
      </c>
    </row>
    <row r="198" spans="2:7" s="46" customFormat="1" x14ac:dyDescent="0.3">
      <c r="B198" s="49" t="s">
        <v>263</v>
      </c>
      <c r="C198" s="188"/>
      <c r="E198" s="306"/>
      <c r="F198" s="47"/>
    </row>
    <row r="199" spans="2:7" s="16" customFormat="1" x14ac:dyDescent="0.3">
      <c r="B199" s="66"/>
      <c r="C199" s="178"/>
      <c r="D199" s="207" t="str">
        <f xml:space="preserve"> 'Key inputs &amp; outputs'!D$12</f>
        <v>People impacted per day</v>
      </c>
      <c r="E199" s="207"/>
      <c r="F199" s="207">
        <f xml:space="preserve"> 'Key inputs &amp; outputs'!F$12</f>
        <v>50</v>
      </c>
      <c r="G199" s="67" t="str">
        <f xml:space="preserve"> 'Key inputs &amp; outputs'!G$12</f>
        <v>people</v>
      </c>
    </row>
    <row r="200" spans="2:7" x14ac:dyDescent="0.3">
      <c r="D200" s="24" t="str">
        <f xml:space="preserve"> 'Other inputs'!D$204</f>
        <v>Average cost of delivery specific item per person</v>
      </c>
      <c r="E200" s="207"/>
      <c r="F200" s="24">
        <f xml:space="preserve"> 'Other inputs'!F$204</f>
        <v>100</v>
      </c>
      <c r="G200" s="24" t="str">
        <f xml:space="preserve"> 'Other inputs'!G$204</f>
        <v>AUD/person</v>
      </c>
    </row>
    <row r="201" spans="2:7" s="85" customFormat="1" x14ac:dyDescent="0.3">
      <c r="B201" s="84"/>
      <c r="C201" s="197"/>
      <c r="D201" s="258" t="str">
        <f xml:space="preserve"> 'Key inputs &amp; outputs'!D$45</f>
        <v>13 Access to essential items/services - sensitivity factor</v>
      </c>
      <c r="E201" s="207"/>
      <c r="F201" s="258">
        <f xml:space="preserve"> 'Key inputs &amp; outputs'!F$45</f>
        <v>1</v>
      </c>
      <c r="G201" s="258" t="str">
        <f xml:space="preserve"> 'Key inputs &amp; outputs'!G$45</f>
        <v>factor</v>
      </c>
    </row>
    <row r="202" spans="2:7" s="95" customFormat="1" x14ac:dyDescent="0.3">
      <c r="B202" s="94"/>
      <c r="C202" s="195"/>
      <c r="D202" s="95" t="str">
        <f xml:space="preserve"> B198</f>
        <v>13 Access to essential items/services</v>
      </c>
      <c r="E202" s="308"/>
      <c r="F202" s="95">
        <f xml:space="preserve"> F199 * F200 * F201</f>
        <v>5000</v>
      </c>
      <c r="G202" s="95" t="s">
        <v>277</v>
      </c>
    </row>
    <row r="204" spans="2:7" s="46" customFormat="1" x14ac:dyDescent="0.3">
      <c r="B204" s="49" t="s">
        <v>266</v>
      </c>
      <c r="C204" s="188"/>
      <c r="E204" s="306"/>
      <c r="F204" s="47"/>
    </row>
    <row r="205" spans="2:7" s="16" customFormat="1" x14ac:dyDescent="0.3">
      <c r="B205" s="66"/>
      <c r="C205" s="178"/>
      <c r="D205" s="207" t="str">
        <f xml:space="preserve"> 'Key inputs &amp; outputs'!D$12</f>
        <v>People impacted per day</v>
      </c>
      <c r="E205" s="207"/>
      <c r="F205" s="207">
        <f xml:space="preserve"> 'Key inputs &amp; outputs'!F$12</f>
        <v>50</v>
      </c>
      <c r="G205" s="67" t="str">
        <f xml:space="preserve"> 'Key inputs &amp; outputs'!G$12</f>
        <v>people</v>
      </c>
    </row>
    <row r="206" spans="2:7" s="47" customFormat="1" x14ac:dyDescent="0.3">
      <c r="B206" s="46"/>
      <c r="C206" s="188"/>
      <c r="D206" s="292" t="str">
        <f xml:space="preserve"> 'Other inputs'!D$208</f>
        <v>% of people who cannot go to work</v>
      </c>
      <c r="E206" s="207"/>
      <c r="F206" s="292">
        <f xml:space="preserve"> 'Other inputs'!F$208</f>
        <v>0.2</v>
      </c>
      <c r="G206" s="292" t="str">
        <f xml:space="preserve"> 'Other inputs'!G$208</f>
        <v>%</v>
      </c>
    </row>
    <row r="207" spans="2:7" s="47" customFormat="1" x14ac:dyDescent="0.3">
      <c r="B207" s="46"/>
      <c r="C207" s="188"/>
      <c r="D207" s="292" t="str">
        <f xml:space="preserve"> 'Other inputs'!D$209</f>
        <v>% of people who cannot go to school</v>
      </c>
      <c r="E207" s="207"/>
      <c r="F207" s="292">
        <f xml:space="preserve"> 'Other inputs'!F$209</f>
        <v>0.1</v>
      </c>
      <c r="G207" s="292" t="str">
        <f xml:space="preserve"> 'Other inputs'!G$209</f>
        <v>%</v>
      </c>
    </row>
    <row r="208" spans="2:7" x14ac:dyDescent="0.3">
      <c r="D208" s="48" t="s">
        <v>314</v>
      </c>
      <c r="F208" s="48">
        <f>F205*(F207+F206)</f>
        <v>15.000000000000002</v>
      </c>
      <c r="G208" s="47" t="s">
        <v>315</v>
      </c>
    </row>
    <row r="209" spans="1:7" ht="5.0999999999999996" customHeight="1" x14ac:dyDescent="0.3"/>
    <row r="210" spans="1:7" x14ac:dyDescent="0.3">
      <c r="B210" s="46"/>
      <c r="C210" s="188"/>
      <c r="D210" s="24" t="str">
        <f xml:space="preserve"> 'Other inputs'!D$211</f>
        <v>Daily average salary</v>
      </c>
      <c r="E210" s="207"/>
      <c r="F210" s="24">
        <f xml:space="preserve"> 'Other inputs'!F$211</f>
        <v>200</v>
      </c>
      <c r="G210" s="24" t="str">
        <f xml:space="preserve"> 'Other inputs'!G$211</f>
        <v>AUD/person/day</v>
      </c>
    </row>
    <row r="211" spans="1:7" s="85" customFormat="1" x14ac:dyDescent="0.3">
      <c r="B211" s="84"/>
      <c r="C211" s="197"/>
      <c r="D211" s="258" t="str">
        <f xml:space="preserve"> 'Key inputs &amp; outputs'!D$46</f>
        <v>14 Access to workplace and schools - sensitivity factor</v>
      </c>
      <c r="E211" s="207"/>
      <c r="F211" s="258">
        <f xml:space="preserve"> 'Key inputs &amp; outputs'!F$46</f>
        <v>1</v>
      </c>
      <c r="G211" s="258" t="str">
        <f xml:space="preserve"> 'Key inputs &amp; outputs'!G$46</f>
        <v>factor</v>
      </c>
    </row>
    <row r="212" spans="1:7" s="97" customFormat="1" x14ac:dyDescent="0.3">
      <c r="B212" s="96"/>
      <c r="C212" s="198"/>
      <c r="D212" s="95" t="str">
        <f xml:space="preserve"> B204</f>
        <v xml:space="preserve">14 Access to workplace and schools </v>
      </c>
      <c r="E212" s="308"/>
      <c r="F212" s="95">
        <f>F208 * F210 * F211</f>
        <v>3000.0000000000005</v>
      </c>
      <c r="G212" s="95" t="s">
        <v>277</v>
      </c>
    </row>
    <row r="214" spans="1:7" s="46" customFormat="1" x14ac:dyDescent="0.3">
      <c r="B214" s="49" t="s">
        <v>271</v>
      </c>
      <c r="C214" s="188"/>
      <c r="E214" s="306"/>
      <c r="F214" s="47"/>
    </row>
    <row r="215" spans="1:7" x14ac:dyDescent="0.3">
      <c r="D215" s="226" t="str">
        <f xml:space="preserve"> 'Other inputs'!D$214</f>
        <v>Mental health-related services cost per person per annum</v>
      </c>
      <c r="E215" s="67"/>
      <c r="F215" s="226">
        <f xml:space="preserve"> 'Other inputs'!F$214</f>
        <v>431</v>
      </c>
      <c r="G215" s="226" t="str">
        <f xml:space="preserve"> 'Other inputs'!G$214</f>
        <v>AUD/person/year</v>
      </c>
    </row>
    <row r="216" spans="1:7" s="16" customFormat="1" x14ac:dyDescent="0.3">
      <c r="B216" s="66"/>
      <c r="C216" s="178"/>
      <c r="D216" s="207" t="str">
        <f xml:space="preserve"> 'Other inputs'!D$8</f>
        <v>Days per year</v>
      </c>
      <c r="E216" s="207"/>
      <c r="F216" s="207">
        <f xml:space="preserve"> 'Other inputs'!F$8</f>
        <v>365</v>
      </c>
      <c r="G216" s="207" t="str">
        <f xml:space="preserve"> 'Other inputs'!G$8</f>
        <v>days</v>
      </c>
    </row>
    <row r="217" spans="1:7" s="44" customFormat="1" x14ac:dyDescent="0.3">
      <c r="B217" s="331"/>
      <c r="C217" s="332"/>
      <c r="D217" s="25" t="s">
        <v>316</v>
      </c>
      <c r="E217" s="25"/>
      <c r="F217" s="25">
        <f xml:space="preserve"> F215 / F216</f>
        <v>1.1808219178082191</v>
      </c>
      <c r="G217" s="25" t="s">
        <v>270</v>
      </c>
    </row>
    <row r="218" spans="1:7" ht="5.0999999999999996" customHeight="1" x14ac:dyDescent="0.3">
      <c r="F218" s="52"/>
    </row>
    <row r="219" spans="1:7" s="16" customFormat="1" x14ac:dyDescent="0.3">
      <c r="B219" s="66"/>
      <c r="C219" s="178"/>
      <c r="D219" s="207" t="str">
        <f xml:space="preserve"> 'Key inputs &amp; outputs'!D$12</f>
        <v>People impacted per day</v>
      </c>
      <c r="E219" s="207"/>
      <c r="F219" s="207">
        <f xml:space="preserve"> 'Key inputs &amp; outputs'!F$12</f>
        <v>50</v>
      </c>
      <c r="G219" s="67" t="str">
        <f xml:space="preserve"> 'Key inputs &amp; outputs'!G$12</f>
        <v>people</v>
      </c>
    </row>
    <row r="220" spans="1:7" s="85" customFormat="1" x14ac:dyDescent="0.3">
      <c r="B220" s="84"/>
      <c r="C220" s="197"/>
      <c r="D220" s="258" t="str">
        <f xml:space="preserve"> 'Key inputs &amp; outputs'!D$47</f>
        <v>15 Mental health - sensitivity factor</v>
      </c>
      <c r="E220" s="207"/>
      <c r="F220" s="258">
        <f xml:space="preserve"> 'Key inputs &amp; outputs'!F$47</f>
        <v>1</v>
      </c>
      <c r="G220" s="258" t="str">
        <f xml:space="preserve"> 'Key inputs &amp; outputs'!G$47</f>
        <v>factor</v>
      </c>
    </row>
    <row r="221" spans="1:7" s="95" customFormat="1" x14ac:dyDescent="0.3">
      <c r="B221" s="94"/>
      <c r="C221" s="195"/>
      <c r="D221" s="95" t="str">
        <f xml:space="preserve"> B214</f>
        <v xml:space="preserve">15 Mental health </v>
      </c>
      <c r="E221" s="308"/>
      <c r="F221" s="206">
        <f xml:space="preserve"> F217 * F219 * F220</f>
        <v>59.041095890410958</v>
      </c>
      <c r="G221" s="95" t="s">
        <v>277</v>
      </c>
    </row>
    <row r="223" spans="1:7" x14ac:dyDescent="0.3">
      <c r="A223" s="49" t="s">
        <v>27</v>
      </c>
    </row>
  </sheetData>
  <dataValidations disablePrompts="1" count="1">
    <dataValidation type="list" allowBlank="1" showInputMessage="1" showErrorMessage="1" sqref="D177:E177" xr:uid="{FB1D39B0-7859-4286-A5D9-36AA397BD3F4}">
      <formula1>Livestock_list</formula1>
    </dataValidation>
  </dataValidations>
  <pageMargins left="0.70866141732283472" right="0.70866141732283472" top="0.74803149606299213" bottom="0.74803149606299213" header="0.31496062992125984" footer="0.31496062992125984"/>
  <pageSetup scale="5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24D0E-BF81-4AD9-8354-6159852FFD8D}">
  <dimension ref="A1:AQ92"/>
  <sheetViews>
    <sheetView defaultGridColor="0" colorId="22" zoomScale="80" zoomScaleNormal="80" workbookViewId="0">
      <pane xSplit="9" ySplit="3" topLeftCell="J66" activePane="bottomRight" state="frozen"/>
      <selection pane="topRight" activeCell="F40" sqref="F40"/>
      <selection pane="bottomLeft" activeCell="F40" sqref="F40"/>
      <selection pane="bottomRight" activeCell="I19" sqref="I19"/>
    </sheetView>
  </sheetViews>
  <sheetFormatPr defaultColWidth="0" defaultRowHeight="14.4" x14ac:dyDescent="0.3"/>
  <cols>
    <col min="1" max="1" width="1.5546875" customWidth="1"/>
    <col min="2" max="2" width="1.5546875" style="15" customWidth="1"/>
    <col min="3" max="3" width="1.5546875" style="174" customWidth="1"/>
    <col min="4" max="4" width="50.5546875" customWidth="1"/>
    <col min="5" max="5" width="4.5546875" style="16" customWidth="1"/>
    <col min="6" max="6" width="12.88671875" style="4" customWidth="1"/>
    <col min="7" max="7" width="15.88671875" style="4" customWidth="1"/>
    <col min="8" max="8" width="11.5546875" style="4" customWidth="1"/>
    <col min="9" max="9" width="2.5546875" style="4" customWidth="1"/>
    <col min="10" max="40" width="11.5546875" customWidth="1"/>
    <col min="41" max="43" width="0" hidden="1" customWidth="1"/>
    <col min="44" max="16384" width="11.5546875" hidden="1"/>
  </cols>
  <sheetData>
    <row r="1" spans="1:40" ht="24.6" x14ac:dyDescent="0.3">
      <c r="A1" s="32" t="str">
        <f ca="1" xml:space="preserve"> RIGHT(CELL("filename", A1), LEN(CELL("filename", A1)) - SEARCH("]", CELL("filename", A1)))</f>
        <v>Analysis</v>
      </c>
      <c r="F1" s="289" t="str">
        <f xml:space="preserve"> "Active case: " &amp; 'Key inputs &amp; outputs'!$F$8</f>
        <v>Active case: Base case</v>
      </c>
    </row>
    <row r="2" spans="1:40" s="34" customFormat="1" x14ac:dyDescent="0.3">
      <c r="B2" s="33"/>
      <c r="C2" s="199"/>
      <c r="D2" s="33" t="s">
        <v>317</v>
      </c>
      <c r="E2" s="306"/>
      <c r="F2" s="33"/>
      <c r="G2" s="33"/>
      <c r="H2" s="33"/>
      <c r="I2" s="33"/>
      <c r="J2" s="42">
        <v>42004</v>
      </c>
      <c r="K2" s="33">
        <f t="shared" ref="K2:AN2" si="0" xml:space="preserve"> EOMONTH(J2, 12)</f>
        <v>42369</v>
      </c>
      <c r="L2" s="33">
        <f t="shared" si="0"/>
        <v>42735</v>
      </c>
      <c r="M2" s="33">
        <f t="shared" si="0"/>
        <v>43100</v>
      </c>
      <c r="N2" s="33">
        <f t="shared" si="0"/>
        <v>43465</v>
      </c>
      <c r="O2" s="33">
        <f t="shared" si="0"/>
        <v>43830</v>
      </c>
      <c r="P2" s="33">
        <f t="shared" si="0"/>
        <v>44196</v>
      </c>
      <c r="Q2" s="33">
        <f t="shared" si="0"/>
        <v>44561</v>
      </c>
      <c r="R2" s="33">
        <f t="shared" si="0"/>
        <v>44926</v>
      </c>
      <c r="S2" s="33">
        <f t="shared" si="0"/>
        <v>45291</v>
      </c>
      <c r="T2" s="33">
        <f t="shared" si="0"/>
        <v>45657</v>
      </c>
      <c r="U2" s="33">
        <f t="shared" si="0"/>
        <v>46022</v>
      </c>
      <c r="V2" s="33">
        <f t="shared" si="0"/>
        <v>46387</v>
      </c>
      <c r="W2" s="33">
        <f t="shared" si="0"/>
        <v>46752</v>
      </c>
      <c r="X2" s="33">
        <f t="shared" si="0"/>
        <v>47118</v>
      </c>
      <c r="Y2" s="33">
        <f t="shared" si="0"/>
        <v>47483</v>
      </c>
      <c r="Z2" s="33">
        <f t="shared" si="0"/>
        <v>47848</v>
      </c>
      <c r="AA2" s="33">
        <f t="shared" si="0"/>
        <v>48213</v>
      </c>
      <c r="AB2" s="33">
        <f t="shared" si="0"/>
        <v>48579</v>
      </c>
      <c r="AC2" s="33">
        <f t="shared" si="0"/>
        <v>48944</v>
      </c>
      <c r="AD2" s="33">
        <f t="shared" si="0"/>
        <v>49309</v>
      </c>
      <c r="AE2" s="33">
        <f t="shared" si="0"/>
        <v>49674</v>
      </c>
      <c r="AF2" s="33">
        <f t="shared" si="0"/>
        <v>50040</v>
      </c>
      <c r="AG2" s="33">
        <f t="shared" si="0"/>
        <v>50405</v>
      </c>
      <c r="AH2" s="33">
        <f t="shared" si="0"/>
        <v>50770</v>
      </c>
      <c r="AI2" s="33">
        <f t="shared" si="0"/>
        <v>51135</v>
      </c>
      <c r="AJ2" s="33">
        <f t="shared" si="0"/>
        <v>51501</v>
      </c>
      <c r="AK2" s="33">
        <f t="shared" si="0"/>
        <v>51866</v>
      </c>
      <c r="AL2" s="33">
        <f t="shared" si="0"/>
        <v>52231</v>
      </c>
      <c r="AM2" s="33">
        <f t="shared" si="0"/>
        <v>52596</v>
      </c>
      <c r="AN2" s="33">
        <f t="shared" si="0"/>
        <v>52962</v>
      </c>
    </row>
    <row r="3" spans="1:40" s="34" customFormat="1" x14ac:dyDescent="0.3">
      <c r="B3" s="33"/>
      <c r="C3" s="199"/>
      <c r="D3" s="15" t="s">
        <v>318</v>
      </c>
      <c r="E3" s="28" t="s">
        <v>29</v>
      </c>
      <c r="F3" s="322" t="s">
        <v>319</v>
      </c>
      <c r="G3" s="15" t="s">
        <v>31</v>
      </c>
      <c r="H3" s="322" t="s">
        <v>293</v>
      </c>
      <c r="I3" s="33"/>
      <c r="J3" s="10">
        <v>1</v>
      </c>
      <c r="K3" s="10">
        <v>2</v>
      </c>
      <c r="L3" s="10">
        <v>3</v>
      </c>
      <c r="M3" s="10">
        <v>4</v>
      </c>
      <c r="N3" s="10">
        <v>5</v>
      </c>
      <c r="O3" s="10">
        <v>6</v>
      </c>
      <c r="P3" s="10">
        <v>7</v>
      </c>
      <c r="Q3" s="10">
        <v>8</v>
      </c>
      <c r="R3" s="10">
        <v>9</v>
      </c>
      <c r="S3" s="10">
        <v>10</v>
      </c>
      <c r="T3" s="10">
        <v>11</v>
      </c>
      <c r="U3" s="10">
        <v>12</v>
      </c>
      <c r="V3" s="10">
        <v>13</v>
      </c>
      <c r="W3" s="10">
        <v>14</v>
      </c>
      <c r="X3" s="10">
        <v>15</v>
      </c>
      <c r="Y3" s="10">
        <v>16</v>
      </c>
      <c r="Z3" s="10">
        <v>17</v>
      </c>
      <c r="AA3" s="10">
        <v>18</v>
      </c>
      <c r="AB3" s="10">
        <v>19</v>
      </c>
      <c r="AC3" s="10">
        <v>20</v>
      </c>
      <c r="AD3" s="10">
        <v>21</v>
      </c>
      <c r="AE3" s="10">
        <v>22</v>
      </c>
      <c r="AF3" s="10">
        <v>23</v>
      </c>
      <c r="AG3" s="10">
        <v>24</v>
      </c>
      <c r="AH3" s="10">
        <v>25</v>
      </c>
      <c r="AI3" s="10">
        <v>26</v>
      </c>
      <c r="AJ3" s="10">
        <v>27</v>
      </c>
      <c r="AK3" s="10">
        <v>28</v>
      </c>
      <c r="AL3" s="10">
        <v>29</v>
      </c>
      <c r="AM3" s="10">
        <v>30</v>
      </c>
      <c r="AN3" s="10">
        <v>31</v>
      </c>
    </row>
    <row r="4" spans="1:40" s="36" customFormat="1" x14ac:dyDescent="0.3">
      <c r="B4" s="35"/>
      <c r="C4" s="200"/>
      <c r="E4" s="16"/>
      <c r="F4" s="37"/>
      <c r="G4" s="37"/>
      <c r="H4" s="37"/>
      <c r="I4" s="37"/>
    </row>
    <row r="5" spans="1:40" s="36" customFormat="1" x14ac:dyDescent="0.3">
      <c r="B5" s="35" t="s">
        <v>320</v>
      </c>
      <c r="C5" s="200"/>
      <c r="E5" s="16"/>
      <c r="F5" s="37"/>
      <c r="G5" s="37"/>
      <c r="H5" s="37"/>
      <c r="I5" s="37"/>
    </row>
    <row r="6" spans="1:40" s="37" customFormat="1" x14ac:dyDescent="0.3">
      <c r="B6" s="15"/>
      <c r="C6" s="200"/>
      <c r="D6" s="207" t="str">
        <f xml:space="preserve"> 'Key inputs &amp; outputs'!D$52</f>
        <v>Cost &amp; price base date - for labelling purposes only</v>
      </c>
      <c r="E6" s="207">
        <f xml:space="preserve"> 'Key inputs &amp; outputs'!E$52</f>
        <v>0</v>
      </c>
      <c r="F6" s="207">
        <f xml:space="preserve"> 'Key inputs &amp; outputs'!F$52</f>
        <v>2021</v>
      </c>
      <c r="G6" s="207" t="str">
        <f xml:space="preserve"> 'Key inputs &amp; outputs'!G$52</f>
        <v>year</v>
      </c>
    </row>
    <row r="7" spans="1:40" s="36" customFormat="1" x14ac:dyDescent="0.3">
      <c r="B7" s="1"/>
      <c r="C7" s="189"/>
      <c r="D7" s="16" t="s">
        <v>321</v>
      </c>
      <c r="E7" s="16"/>
      <c r="F7" s="29" t="str">
        <f xml:space="preserve"> " in " &amp; F6 &amp; " prices"</f>
        <v xml:space="preserve"> in 2021 prices</v>
      </c>
      <c r="G7" s="16" t="s">
        <v>322</v>
      </c>
      <c r="I7" s="37"/>
    </row>
    <row r="8" spans="1:40" s="37" customFormat="1" x14ac:dyDescent="0.3">
      <c r="B8" s="15"/>
      <c r="C8" s="200"/>
      <c r="D8" s="26"/>
      <c r="E8" s="26"/>
      <c r="F8" s="26"/>
      <c r="G8" s="26"/>
    </row>
    <row r="9" spans="1:40" s="36" customFormat="1" x14ac:dyDescent="0.3">
      <c r="B9" s="35" t="str">
        <f xml:space="preserve"> D25</f>
        <v>Non-road benefits in 2021 prices</v>
      </c>
      <c r="E9" s="16"/>
      <c r="F9" s="37"/>
      <c r="G9" s="37"/>
      <c r="H9" s="64" t="s">
        <v>68</v>
      </c>
      <c r="I9" s="37"/>
    </row>
    <row r="10" spans="1:40" s="48" customFormat="1" x14ac:dyDescent="0.3">
      <c r="B10" s="15"/>
      <c r="C10" s="174"/>
      <c r="D10" s="88" t="str">
        <f>'Non-road benefits calcs'!D$16</f>
        <v>1 Fuel cost</v>
      </c>
      <c r="E10" s="311"/>
      <c r="F10" s="88">
        <f>'Non-road benefits calcs'!F$16</f>
        <v>720</v>
      </c>
      <c r="G10" s="88" t="str">
        <f>'Non-road benefits calcs'!G$16</f>
        <v>AUD/day</v>
      </c>
      <c r="H10" s="65">
        <f xml:space="preserve"> F10 / F$25</f>
        <v>2.4167603409124386E-2</v>
      </c>
      <c r="I10" s="47"/>
    </row>
    <row r="11" spans="1:40" s="48" customFormat="1" x14ac:dyDescent="0.3">
      <c r="B11" s="15"/>
      <c r="C11" s="174"/>
      <c r="D11" s="88" t="str">
        <f>'Non-road benefits calcs'!D$23</f>
        <v>2 O&amp;M cost of vehicles</v>
      </c>
      <c r="E11" s="311"/>
      <c r="F11" s="88">
        <f>'Non-road benefits calcs'!F$23</f>
        <v>46.144687500000003</v>
      </c>
      <c r="G11" s="88" t="str">
        <f>'Non-road benefits calcs'!G$23</f>
        <v>AUD/day</v>
      </c>
      <c r="H11" s="65">
        <f t="shared" ref="H11:H24" si="1" xml:space="preserve"> F11 / F$25</f>
        <v>1.5488979263027494E-3</v>
      </c>
      <c r="I11" s="47"/>
    </row>
    <row r="12" spans="1:40" s="48" customFormat="1" x14ac:dyDescent="0.3">
      <c r="B12" s="15"/>
      <c r="C12" s="174"/>
      <c r="D12" s="88" t="str">
        <f>'Non-road benefits calcs'!D$44</f>
        <v>3 O&amp;M cost of roads</v>
      </c>
      <c r="E12" s="311"/>
      <c r="F12" s="88">
        <f>'Non-road benefits calcs'!F$44</f>
        <v>9.9406750684931513</v>
      </c>
      <c r="G12" s="88" t="str">
        <f>'Non-road benefits calcs'!G$44</f>
        <v>AUD/day</v>
      </c>
      <c r="H12" s="65">
        <f t="shared" si="1"/>
        <v>3.3366985093654565E-4</v>
      </c>
      <c r="I12" s="47"/>
    </row>
    <row r="13" spans="1:40" s="48" customFormat="1" x14ac:dyDescent="0.3">
      <c r="B13" s="15"/>
      <c r="C13" s="174"/>
      <c r="D13" s="88" t="str">
        <f>'Non-road benefits calcs'!D$54</f>
        <v>4 Cost of travel time</v>
      </c>
      <c r="E13" s="311"/>
      <c r="F13" s="88">
        <f>'Non-road benefits calcs'!F$54</f>
        <v>500.66985937500004</v>
      </c>
      <c r="G13" s="88" t="str">
        <f>'Non-road benefits calcs'!G$54</f>
        <v>AUD/day</v>
      </c>
      <c r="H13" s="65">
        <f t="shared" si="1"/>
        <v>1.680554250038483E-2</v>
      </c>
      <c r="I13" s="47"/>
    </row>
    <row r="14" spans="1:40" s="48" customFormat="1" x14ac:dyDescent="0.3">
      <c r="B14" s="15"/>
      <c r="C14" s="174"/>
      <c r="D14" s="89" t="str">
        <f>'Non-road benefits calcs'!D$74</f>
        <v>5 Air pollution</v>
      </c>
      <c r="E14" s="312"/>
      <c r="F14" s="89">
        <f>'Non-road benefits calcs'!F$74</f>
        <v>1655.77393125</v>
      </c>
      <c r="G14" s="89" t="str">
        <f>'Non-road benefits calcs'!G$74</f>
        <v>AUD/day</v>
      </c>
      <c r="H14" s="65">
        <f t="shared" si="1"/>
        <v>5.5577899591134426E-2</v>
      </c>
      <c r="I14" s="47"/>
    </row>
    <row r="15" spans="1:40" s="48" customFormat="1" x14ac:dyDescent="0.3">
      <c r="B15" s="15"/>
      <c r="C15" s="174"/>
      <c r="D15" s="89" t="str">
        <f xml:space="preserve"> 'Non-road benefits calcs'!D$94</f>
        <v>6 Noise pollution</v>
      </c>
      <c r="E15" s="312"/>
      <c r="F15" s="89">
        <f xml:space="preserve"> 'Non-road benefits calcs'!F$94</f>
        <v>286.30214999999998</v>
      </c>
      <c r="G15" s="89" t="str">
        <f xml:space="preserve"> 'Non-road benefits calcs'!G$94</f>
        <v>AUD/day</v>
      </c>
      <c r="H15" s="65">
        <f t="shared" si="1"/>
        <v>9.6100511338606115E-3</v>
      </c>
      <c r="I15" s="47"/>
    </row>
    <row r="16" spans="1:40" s="48" customFormat="1" x14ac:dyDescent="0.3">
      <c r="B16" s="15"/>
      <c r="C16" s="174"/>
      <c r="D16" s="89" t="str">
        <f xml:space="preserve"> 'Non-road benefits calcs'!D$114</f>
        <v>7 Water pollution</v>
      </c>
      <c r="E16" s="312"/>
      <c r="F16" s="89">
        <f xml:space="preserve"> 'Non-road benefits calcs'!F$114</f>
        <v>248.3609625</v>
      </c>
      <c r="G16" s="89" t="str">
        <f xml:space="preserve"> 'Non-road benefits calcs'!G$114</f>
        <v>AUD/day</v>
      </c>
      <c r="H16" s="65">
        <f t="shared" si="1"/>
        <v>8.3365128389005748E-3</v>
      </c>
      <c r="I16" s="47"/>
    </row>
    <row r="17" spans="2:40" s="48" customFormat="1" x14ac:dyDescent="0.3">
      <c r="B17" s="15"/>
      <c r="C17" s="174"/>
      <c r="D17" s="89" t="str">
        <f xml:space="preserve"> 'Non-road benefits calcs'!D$134</f>
        <v>8 GHG emissions</v>
      </c>
      <c r="E17" s="312"/>
      <c r="F17" s="89">
        <f xml:space="preserve"> 'Non-road benefits calcs'!F$134</f>
        <v>528.10031249999997</v>
      </c>
      <c r="G17" s="89" t="str">
        <f xml:space="preserve"> 'Non-road benefits calcs'!G$134</f>
        <v>AUD/day</v>
      </c>
      <c r="H17" s="65">
        <f t="shared" si="1"/>
        <v>1.7726276267687018E-2</v>
      </c>
      <c r="I17" s="47"/>
    </row>
    <row r="18" spans="2:40" s="48" customFormat="1" x14ac:dyDescent="0.3">
      <c r="B18" s="15"/>
      <c r="C18" s="174"/>
      <c r="D18" s="89" t="str">
        <f xml:space="preserve"> 'Non-road benefits calcs'!D$154</f>
        <v>9 Nature and landscape</v>
      </c>
      <c r="E18" s="312"/>
      <c r="F18" s="89">
        <f xml:space="preserve"> 'Non-road benefits calcs'!F$154</f>
        <v>181.81006875000003</v>
      </c>
      <c r="G18" s="89" t="str">
        <f xml:space="preserve"> 'Non-road benefits calcs'!G$154</f>
        <v>AUD/day</v>
      </c>
      <c r="H18" s="65">
        <f t="shared" si="1"/>
        <v>6.102657829632833E-3</v>
      </c>
      <c r="I18" s="47"/>
    </row>
    <row r="19" spans="2:40" s="48" customFormat="1" x14ac:dyDescent="0.3">
      <c r="B19" s="15"/>
      <c r="C19" s="174"/>
      <c r="D19" s="88" t="str">
        <f>'Non-road benefits calcs'!D$166</f>
        <v>10 Crop and fruit revenue</v>
      </c>
      <c r="E19" s="311"/>
      <c r="F19" s="88">
        <f>'Non-road benefits calcs'!F$166</f>
        <v>16337.778170699998</v>
      </c>
      <c r="G19" s="88" t="str">
        <f>'Non-road benefits calcs'!G$166</f>
        <v>AUD/day</v>
      </c>
      <c r="H19" s="65">
        <f t="shared" si="1"/>
        <v>0.54839575474406554</v>
      </c>
      <c r="I19" s="47"/>
    </row>
    <row r="20" spans="2:40" s="48" customFormat="1" x14ac:dyDescent="0.3">
      <c r="B20" s="15"/>
      <c r="C20" s="174"/>
      <c r="D20" s="88" t="str">
        <f>'Non-road benefits calcs'!D$173</f>
        <v xml:space="preserve">11 Fish revenue </v>
      </c>
      <c r="E20" s="311"/>
      <c r="F20" s="88">
        <f>'Non-road benefits calcs'!F$173</f>
        <v>70</v>
      </c>
      <c r="G20" s="88" t="str">
        <f>'Non-road benefits calcs'!G$173</f>
        <v>AUD/day</v>
      </c>
      <c r="H20" s="65">
        <f t="shared" si="1"/>
        <v>2.3496281092204264E-3</v>
      </c>
      <c r="I20" s="47"/>
    </row>
    <row r="21" spans="2:40" s="48" customFormat="1" x14ac:dyDescent="0.3">
      <c r="B21" s="15"/>
      <c r="C21" s="174"/>
      <c r="D21" s="88" t="str">
        <f>'Non-road benefits calcs'!D$196</f>
        <v xml:space="preserve">12 Livestock revenue </v>
      </c>
      <c r="E21" s="311"/>
      <c r="F21" s="88">
        <f>'Non-road benefits calcs'!F$196</f>
        <v>1148.0267464712852</v>
      </c>
      <c r="G21" s="88" t="str">
        <f>'Non-road benefits calcs'!G$196</f>
        <v>AUD/day</v>
      </c>
      <c r="H21" s="65">
        <f t="shared" si="1"/>
        <v>3.8534798766368623E-2</v>
      </c>
      <c r="I21" s="47"/>
    </row>
    <row r="22" spans="2:40" s="48" customFormat="1" x14ac:dyDescent="0.3">
      <c r="B22" s="15"/>
      <c r="C22" s="174"/>
      <c r="D22" s="88" t="str">
        <f>'Non-road benefits calcs'!D$202</f>
        <v>13 Access to essential items/services</v>
      </c>
      <c r="E22" s="311"/>
      <c r="F22" s="88">
        <f>'Non-road benefits calcs'!F$202</f>
        <v>5000</v>
      </c>
      <c r="G22" s="88" t="str">
        <f>'Non-road benefits calcs'!G$202</f>
        <v>AUD/day</v>
      </c>
      <c r="H22" s="65">
        <f t="shared" si="1"/>
        <v>0.16783057923003045</v>
      </c>
      <c r="I22" s="47"/>
    </row>
    <row r="23" spans="2:40" s="48" customFormat="1" x14ac:dyDescent="0.3">
      <c r="B23" s="15"/>
      <c r="C23" s="174"/>
      <c r="D23" s="88" t="str">
        <f>'Non-road benefits calcs'!D$212</f>
        <v xml:space="preserve">14 Access to workplace and schools </v>
      </c>
      <c r="E23" s="311"/>
      <c r="F23" s="88">
        <f>'Non-road benefits calcs'!F$212</f>
        <v>3000.0000000000005</v>
      </c>
      <c r="G23" s="88" t="str">
        <f>'Non-road benefits calcs'!G$212</f>
        <v>AUD/day</v>
      </c>
      <c r="H23" s="65">
        <f t="shared" si="1"/>
        <v>0.10069834753801829</v>
      </c>
      <c r="I23" s="47"/>
    </row>
    <row r="24" spans="2:40" s="48" customFormat="1" x14ac:dyDescent="0.3">
      <c r="B24" s="15"/>
      <c r="C24" s="174"/>
      <c r="D24" s="88" t="str">
        <f>'Non-road benefits calcs'!D$221</f>
        <v xml:space="preserve">15 Mental health </v>
      </c>
      <c r="E24" s="311"/>
      <c r="F24" s="88">
        <f>'Non-road benefits calcs'!F$221</f>
        <v>59.041095890410958</v>
      </c>
      <c r="G24" s="88" t="str">
        <f>'Non-road benefits calcs'!G$221</f>
        <v>AUD/day</v>
      </c>
      <c r="H24" s="105">
        <f t="shared" si="1"/>
        <v>1.9817802643326884E-3</v>
      </c>
      <c r="I24" s="47"/>
    </row>
    <row r="25" spans="2:40" s="44" customFormat="1" x14ac:dyDescent="0.3">
      <c r="B25" s="21"/>
      <c r="C25" s="155"/>
      <c r="D25" s="224" t="str">
        <f xml:space="preserve"> "Non-road benefits" &amp; F7</f>
        <v>Non-road benefits in 2021 prices</v>
      </c>
      <c r="E25" s="313"/>
      <c r="F25" s="225">
        <f>SUM(F10:F24)</f>
        <v>29791.948660005186</v>
      </c>
      <c r="G25" s="224" t="s">
        <v>277</v>
      </c>
      <c r="H25" s="205">
        <f>SUM(H10:H24)</f>
        <v>1</v>
      </c>
      <c r="I25" s="25"/>
      <c r="J25" s="25"/>
    </row>
    <row r="26" spans="2:40" s="9" customFormat="1" x14ac:dyDescent="0.3">
      <c r="B26" s="15"/>
      <c r="C26" s="174"/>
      <c r="E26" s="16"/>
      <c r="F26" s="10"/>
      <c r="G26" s="10"/>
      <c r="H26" s="10"/>
      <c r="I26" s="10"/>
    </row>
    <row r="27" spans="2:40" s="36" customFormat="1" x14ac:dyDescent="0.3">
      <c r="B27" s="35" t="s">
        <v>323</v>
      </c>
      <c r="C27" s="200"/>
      <c r="E27" s="16"/>
      <c r="F27" s="37"/>
      <c r="G27" s="37"/>
      <c r="H27" s="37"/>
      <c r="I27" s="37"/>
    </row>
    <row r="28" spans="2:40" s="36" customFormat="1" x14ac:dyDescent="0.3">
      <c r="B28" s="35"/>
      <c r="C28" s="200" t="s">
        <v>98</v>
      </c>
      <c r="E28" s="16"/>
      <c r="F28" s="37"/>
      <c r="G28" s="37"/>
      <c r="H28" s="37"/>
      <c r="I28" s="37"/>
    </row>
    <row r="29" spans="2:40" s="10" customFormat="1" x14ac:dyDescent="0.3">
      <c r="B29" s="15"/>
      <c r="C29" s="174"/>
      <c r="D29" s="38" t="str">
        <f xml:space="preserve"> 'Key inputs &amp; outputs'!D$54</f>
        <v>Betterment cost</v>
      </c>
      <c r="E29" s="207">
        <f xml:space="preserve"> 'Key inputs &amp; outputs'!E$54</f>
        <v>0</v>
      </c>
      <c r="F29" s="38">
        <f xml:space="preserve"> 'Key inputs &amp; outputs'!F$54</f>
        <v>5000000</v>
      </c>
      <c r="G29" s="38" t="str">
        <f xml:space="preserve"> 'Key inputs &amp; outputs'!G$54</f>
        <v>AUD</v>
      </c>
    </row>
    <row r="30" spans="2:40" s="9" customFormat="1" x14ac:dyDescent="0.3">
      <c r="B30" s="15"/>
      <c r="C30" s="174"/>
      <c r="D30" s="9" t="s">
        <v>324</v>
      </c>
      <c r="E30" s="16"/>
      <c r="F30" s="10"/>
      <c r="G30" s="10" t="s">
        <v>325</v>
      </c>
      <c r="H30" s="10">
        <f xml:space="preserve"> SUM(J30:AN30)</f>
        <v>1</v>
      </c>
      <c r="I30" s="10"/>
      <c r="J30" s="12">
        <v>1</v>
      </c>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row>
    <row r="31" spans="2:40" x14ac:dyDescent="0.3">
      <c r="D31" t="s">
        <v>98</v>
      </c>
      <c r="G31" s="4" t="s">
        <v>99</v>
      </c>
      <c r="H31" s="4">
        <f xml:space="preserve"> SUM(J31:AN31)</f>
        <v>-5000000</v>
      </c>
      <c r="J31">
        <f t="shared" ref="J31:AN31" si="2" xml:space="preserve"> -1 * $F29 * J30</f>
        <v>-5000000</v>
      </c>
      <c r="K31">
        <f t="shared" si="2"/>
        <v>0</v>
      </c>
      <c r="L31">
        <f t="shared" si="2"/>
        <v>0</v>
      </c>
      <c r="M31">
        <f t="shared" si="2"/>
        <v>0</v>
      </c>
      <c r="N31">
        <f t="shared" si="2"/>
        <v>0</v>
      </c>
      <c r="O31">
        <f t="shared" si="2"/>
        <v>0</v>
      </c>
      <c r="P31">
        <f t="shared" si="2"/>
        <v>0</v>
      </c>
      <c r="Q31">
        <f t="shared" si="2"/>
        <v>0</v>
      </c>
      <c r="R31">
        <f t="shared" si="2"/>
        <v>0</v>
      </c>
      <c r="S31">
        <f t="shared" si="2"/>
        <v>0</v>
      </c>
      <c r="T31">
        <f t="shared" si="2"/>
        <v>0</v>
      </c>
      <c r="U31">
        <f t="shared" si="2"/>
        <v>0</v>
      </c>
      <c r="V31">
        <f t="shared" si="2"/>
        <v>0</v>
      </c>
      <c r="W31">
        <f t="shared" si="2"/>
        <v>0</v>
      </c>
      <c r="X31">
        <f t="shared" si="2"/>
        <v>0</v>
      </c>
      <c r="Y31">
        <f t="shared" si="2"/>
        <v>0</v>
      </c>
      <c r="Z31">
        <f t="shared" si="2"/>
        <v>0</v>
      </c>
      <c r="AA31">
        <f t="shared" si="2"/>
        <v>0</v>
      </c>
      <c r="AB31">
        <f t="shared" si="2"/>
        <v>0</v>
      </c>
      <c r="AC31">
        <f t="shared" si="2"/>
        <v>0</v>
      </c>
      <c r="AD31">
        <f t="shared" si="2"/>
        <v>0</v>
      </c>
      <c r="AE31">
        <f t="shared" si="2"/>
        <v>0</v>
      </c>
      <c r="AF31">
        <f t="shared" si="2"/>
        <v>0</v>
      </c>
      <c r="AG31">
        <f t="shared" si="2"/>
        <v>0</v>
      </c>
      <c r="AH31">
        <f t="shared" si="2"/>
        <v>0</v>
      </c>
      <c r="AI31">
        <f t="shared" si="2"/>
        <v>0</v>
      </c>
      <c r="AJ31">
        <f t="shared" si="2"/>
        <v>0</v>
      </c>
      <c r="AK31">
        <f t="shared" si="2"/>
        <v>0</v>
      </c>
      <c r="AL31">
        <f t="shared" si="2"/>
        <v>0</v>
      </c>
      <c r="AM31">
        <f t="shared" si="2"/>
        <v>0</v>
      </c>
      <c r="AN31">
        <f t="shared" si="2"/>
        <v>0</v>
      </c>
    </row>
    <row r="32" spans="2:40" s="36" customFormat="1" x14ac:dyDescent="0.3">
      <c r="B32" s="35"/>
      <c r="C32" s="200"/>
      <c r="E32" s="16"/>
      <c r="F32" s="37"/>
      <c r="G32" s="37"/>
      <c r="H32" s="37"/>
      <c r="I32" s="37"/>
    </row>
    <row r="33" spans="1:40" s="36" customFormat="1" x14ac:dyDescent="0.3">
      <c r="B33" s="35"/>
      <c r="C33" s="200" t="s">
        <v>326</v>
      </c>
      <c r="E33" s="16"/>
      <c r="F33" s="37"/>
      <c r="G33" s="37"/>
      <c r="H33" s="37"/>
      <c r="I33" s="37"/>
    </row>
    <row r="34" spans="1:40" s="9" customFormat="1" x14ac:dyDescent="0.3">
      <c r="B34" s="1"/>
      <c r="C34" s="175"/>
      <c r="D34" s="38" t="str">
        <f xml:space="preserve"> 'Key inputs &amp; outputs'!D$57</f>
        <v>Avoided road damage benefit based on past occurences</v>
      </c>
      <c r="E34" s="207">
        <f xml:space="preserve"> 'Key inputs &amp; outputs'!E$57</f>
        <v>0</v>
      </c>
      <c r="F34" s="38">
        <f xml:space="preserve"> 'Key inputs &amp; outputs'!F$57</f>
        <v>6700000</v>
      </c>
      <c r="G34" s="38" t="str">
        <f xml:space="preserve"> 'Key inputs &amp; outputs'!G$57</f>
        <v>AUD</v>
      </c>
      <c r="H34" s="10"/>
      <c r="I34" s="10"/>
    </row>
    <row r="35" spans="1:40" s="9" customFormat="1" x14ac:dyDescent="0.3">
      <c r="A35" s="10"/>
      <c r="B35" s="1"/>
      <c r="C35" s="175"/>
      <c r="D35" s="38" t="str">
        <f xml:space="preserve"> 'Key inputs &amp; outputs'!D$58</f>
        <v>Number of past occurences</v>
      </c>
      <c r="E35" s="207">
        <f xml:space="preserve"> 'Key inputs &amp; outputs'!E$58</f>
        <v>0</v>
      </c>
      <c r="F35" s="38">
        <f xml:space="preserve"> 'Key inputs &amp; outputs'!F$58</f>
        <v>4</v>
      </c>
      <c r="G35" s="38" t="str">
        <f xml:space="preserve"> 'Key inputs &amp; outputs'!G$58</f>
        <v>occurences</v>
      </c>
      <c r="H35" s="10"/>
      <c r="I35" s="10"/>
    </row>
    <row r="36" spans="1:40" s="9" customFormat="1" x14ac:dyDescent="0.3">
      <c r="A36" s="10"/>
      <c r="B36" s="1"/>
      <c r="C36" s="175"/>
      <c r="D36" s="10" t="s">
        <v>327</v>
      </c>
      <c r="E36" s="26"/>
      <c r="F36" s="19">
        <f xml:space="preserve"> F34 / F35</f>
        <v>1675000</v>
      </c>
      <c r="G36" s="10" t="s">
        <v>328</v>
      </c>
      <c r="H36" s="10"/>
      <c r="I36" s="10"/>
    </row>
    <row r="37" spans="1:40" s="10" customFormat="1" ht="5.0999999999999996" customHeight="1" x14ac:dyDescent="0.3">
      <c r="B37" s="15"/>
      <c r="C37" s="174"/>
      <c r="E37" s="26"/>
      <c r="F37" s="19"/>
    </row>
    <row r="38" spans="1:40" s="9" customFormat="1" x14ac:dyDescent="0.3">
      <c r="B38" s="15"/>
      <c r="C38" s="174"/>
      <c r="D38" s="9" t="s">
        <v>329</v>
      </c>
      <c r="E38" s="16"/>
      <c r="F38" s="10"/>
      <c r="G38" s="10" t="s">
        <v>325</v>
      </c>
      <c r="H38" s="10">
        <f t="shared" ref="H38" si="3" xml:space="preserve"> SUM(J38:AN38)</f>
        <v>6</v>
      </c>
      <c r="I38" s="10"/>
      <c r="J38" s="12"/>
      <c r="K38" s="12"/>
      <c r="L38" s="12">
        <v>1</v>
      </c>
      <c r="M38" s="12"/>
      <c r="N38" s="12">
        <v>1</v>
      </c>
      <c r="O38" s="12"/>
      <c r="P38" s="12">
        <v>1</v>
      </c>
      <c r="Q38" s="12">
        <v>1</v>
      </c>
      <c r="R38" s="12"/>
      <c r="S38" s="12">
        <v>1</v>
      </c>
      <c r="T38" s="12"/>
      <c r="U38" s="12">
        <v>1</v>
      </c>
      <c r="V38" s="12"/>
      <c r="W38" s="12"/>
      <c r="X38" s="12"/>
      <c r="Y38" s="12"/>
      <c r="Z38" s="12"/>
      <c r="AA38" s="12"/>
      <c r="AB38" s="12"/>
      <c r="AC38" s="12"/>
      <c r="AD38" s="12"/>
      <c r="AE38" s="12"/>
      <c r="AF38" s="12"/>
      <c r="AG38" s="12"/>
      <c r="AH38" s="12"/>
      <c r="AI38" s="12"/>
      <c r="AJ38" s="12"/>
      <c r="AK38" s="12"/>
      <c r="AL38" s="12"/>
      <c r="AM38" s="12"/>
      <c r="AN38" s="12"/>
    </row>
    <row r="39" spans="1:40" x14ac:dyDescent="0.3">
      <c r="D39" t="s">
        <v>326</v>
      </c>
      <c r="G39" s="4" t="s">
        <v>99</v>
      </c>
      <c r="H39" s="4">
        <f xml:space="preserve"> SUM(J39:AN39)</f>
        <v>10050000</v>
      </c>
      <c r="J39" s="4">
        <f t="shared" ref="J39" si="4" xml:space="preserve"> $F$36 * J38</f>
        <v>0</v>
      </c>
      <c r="K39" s="4">
        <f t="shared" ref="K39" si="5" xml:space="preserve"> $F$36 * K38</f>
        <v>0</v>
      </c>
      <c r="L39" s="4">
        <f t="shared" ref="L39" si="6" xml:space="preserve"> $F$36 * L38</f>
        <v>1675000</v>
      </c>
      <c r="M39" s="4">
        <f t="shared" ref="M39" si="7" xml:space="preserve"> $F$36 * M38</f>
        <v>0</v>
      </c>
      <c r="N39" s="4">
        <f t="shared" ref="N39" si="8" xml:space="preserve"> $F$36 * N38</f>
        <v>1675000</v>
      </c>
      <c r="O39" s="4">
        <f t="shared" ref="O39" si="9" xml:space="preserve"> $F$36 * O38</f>
        <v>0</v>
      </c>
      <c r="P39" s="4">
        <f t="shared" ref="P39" si="10" xml:space="preserve"> $F$36 * P38</f>
        <v>1675000</v>
      </c>
      <c r="Q39" s="4">
        <f t="shared" ref="Q39" si="11" xml:space="preserve"> $F$36 * Q38</f>
        <v>1675000</v>
      </c>
      <c r="R39" s="4">
        <f t="shared" ref="R39:Y39" si="12" xml:space="preserve"> $F$36 * R38</f>
        <v>0</v>
      </c>
      <c r="S39" s="4">
        <f t="shared" si="12"/>
        <v>1675000</v>
      </c>
      <c r="T39" s="4">
        <f t="shared" si="12"/>
        <v>0</v>
      </c>
      <c r="U39" s="4">
        <f t="shared" si="12"/>
        <v>1675000</v>
      </c>
      <c r="V39" s="4">
        <f t="shared" si="12"/>
        <v>0</v>
      </c>
      <c r="W39" s="4">
        <f t="shared" si="12"/>
        <v>0</v>
      </c>
      <c r="X39" s="4">
        <f t="shared" si="12"/>
        <v>0</v>
      </c>
      <c r="Y39" s="4">
        <f t="shared" si="12"/>
        <v>0</v>
      </c>
      <c r="Z39" s="4">
        <f t="shared" ref="Z39" si="13" xml:space="preserve"> $F$36 * Z38</f>
        <v>0</v>
      </c>
      <c r="AA39" s="4">
        <f t="shared" ref="AA39" si="14" xml:space="preserve"> $F$36 * AA38</f>
        <v>0</v>
      </c>
      <c r="AB39" s="4">
        <f t="shared" ref="AB39" si="15" xml:space="preserve"> $F$36 * AB38</f>
        <v>0</v>
      </c>
      <c r="AC39" s="4">
        <f t="shared" ref="AC39" si="16" xml:space="preserve"> $F$36 * AC38</f>
        <v>0</v>
      </c>
      <c r="AD39" s="4">
        <f t="shared" ref="AD39" si="17" xml:space="preserve"> $F$36 * AD38</f>
        <v>0</v>
      </c>
      <c r="AE39" s="4">
        <f t="shared" ref="AE39" si="18" xml:space="preserve"> $F$36 * AE38</f>
        <v>0</v>
      </c>
      <c r="AF39" s="4">
        <f t="shared" ref="AF39" si="19" xml:space="preserve"> $F$36 * AF38</f>
        <v>0</v>
      </c>
      <c r="AG39" s="4">
        <f t="shared" ref="AG39" si="20" xml:space="preserve"> $F$36 * AG38</f>
        <v>0</v>
      </c>
      <c r="AH39" s="4">
        <f t="shared" ref="AH39" si="21" xml:space="preserve"> $F$36 * AH38</f>
        <v>0</v>
      </c>
      <c r="AI39" s="4">
        <f t="shared" ref="AI39" si="22" xml:space="preserve"> $F$36 * AI38</f>
        <v>0</v>
      </c>
      <c r="AJ39" s="4">
        <f t="shared" ref="AJ39" si="23" xml:space="preserve"> $F$36 * AJ38</f>
        <v>0</v>
      </c>
      <c r="AK39" s="4">
        <f t="shared" ref="AK39" si="24" xml:space="preserve"> $F$36 * AK38</f>
        <v>0</v>
      </c>
      <c r="AL39" s="4">
        <f t="shared" ref="AL39" si="25" xml:space="preserve"> $F$36 * AL38</f>
        <v>0</v>
      </c>
      <c r="AM39" s="4">
        <f t="shared" ref="AM39" si="26" xml:space="preserve"> $F$36 * AM38</f>
        <v>0</v>
      </c>
      <c r="AN39" s="4">
        <f t="shared" ref="AN39" si="27" xml:space="preserve"> $F$36 * AN38</f>
        <v>0</v>
      </c>
    </row>
    <row r="40" spans="1:40" s="36" customFormat="1" x14ac:dyDescent="0.3">
      <c r="B40" s="35"/>
      <c r="C40" s="200"/>
      <c r="E40" s="16"/>
      <c r="F40" s="37"/>
      <c r="G40" s="37"/>
      <c r="H40" s="37"/>
      <c r="I40" s="37"/>
    </row>
    <row r="41" spans="1:40" s="36" customFormat="1" x14ac:dyDescent="0.3">
      <c r="B41" s="35"/>
      <c r="C41" s="200" t="s">
        <v>330</v>
      </c>
      <c r="E41" s="16"/>
      <c r="F41" s="37"/>
      <c r="G41" s="37"/>
      <c r="H41" s="37"/>
      <c r="I41" s="37"/>
    </row>
    <row r="42" spans="1:40" s="8" customFormat="1" x14ac:dyDescent="0.3">
      <c r="B42" s="21"/>
      <c r="C42" s="155"/>
      <c r="D42" s="19" t="str">
        <f t="shared" ref="D42:G42" si="28" xml:space="preserve"> D$25</f>
        <v>Non-road benefits in 2021 prices</v>
      </c>
      <c r="E42" s="29"/>
      <c r="F42" s="19">
        <f t="shared" si="28"/>
        <v>29791.948660005186</v>
      </c>
      <c r="G42" s="19" t="str">
        <f t="shared" si="28"/>
        <v>AUD/day</v>
      </c>
      <c r="H42" s="19"/>
      <c r="I42" s="19"/>
    </row>
    <row r="43" spans="1:40" s="9" customFormat="1" x14ac:dyDescent="0.3">
      <c r="B43" s="15"/>
      <c r="C43" s="174"/>
      <c r="D43" s="19" t="s">
        <v>331</v>
      </c>
      <c r="E43" s="29"/>
      <c r="F43" s="10"/>
      <c r="G43" s="10" t="s">
        <v>106</v>
      </c>
      <c r="H43" s="10">
        <f t="shared" ref="H43" si="29" xml:space="preserve"> SUM(J43:AN43)</f>
        <v>135</v>
      </c>
      <c r="I43" s="10"/>
      <c r="J43" s="12"/>
      <c r="K43" s="12"/>
      <c r="L43" s="12">
        <v>25</v>
      </c>
      <c r="M43" s="12"/>
      <c r="N43" s="12">
        <v>25</v>
      </c>
      <c r="O43" s="12"/>
      <c r="P43" s="12">
        <v>25</v>
      </c>
      <c r="Q43" s="12">
        <v>25</v>
      </c>
      <c r="R43" s="12"/>
      <c r="S43" s="12">
        <v>15</v>
      </c>
      <c r="T43" s="12"/>
      <c r="U43" s="12">
        <v>20</v>
      </c>
      <c r="V43" s="12"/>
      <c r="W43" s="12"/>
      <c r="X43" s="12"/>
      <c r="Y43" s="12"/>
      <c r="Z43" s="12"/>
      <c r="AA43" s="12"/>
      <c r="AB43" s="12"/>
      <c r="AC43" s="12"/>
      <c r="AD43" s="12"/>
      <c r="AE43" s="12"/>
      <c r="AF43" s="12"/>
      <c r="AG43" s="12"/>
      <c r="AH43" s="12"/>
      <c r="AI43" s="12"/>
      <c r="AJ43" s="12"/>
      <c r="AK43" s="12"/>
      <c r="AL43" s="12"/>
      <c r="AM43" s="12"/>
      <c r="AN43" s="12"/>
    </row>
    <row r="44" spans="1:40" x14ac:dyDescent="0.3">
      <c r="D44" s="25" t="s">
        <v>330</v>
      </c>
      <c r="E44" s="29"/>
      <c r="G44" s="4" t="s">
        <v>99</v>
      </c>
      <c r="H44" s="4">
        <f xml:space="preserve"> SUM(J44:AN44)</f>
        <v>4021913.0691007003</v>
      </c>
      <c r="J44">
        <f t="shared" ref="J44:AN44" si="30" xml:space="preserve"> $F42 * J43</f>
        <v>0</v>
      </c>
      <c r="K44">
        <f t="shared" si="30"/>
        <v>0</v>
      </c>
      <c r="L44">
        <f t="shared" si="30"/>
        <v>744798.71650012967</v>
      </c>
      <c r="M44">
        <f t="shared" si="30"/>
        <v>0</v>
      </c>
      <c r="N44" s="4">
        <f t="shared" si="30"/>
        <v>744798.71650012967</v>
      </c>
      <c r="O44">
        <f t="shared" si="30"/>
        <v>0</v>
      </c>
      <c r="P44">
        <f t="shared" si="30"/>
        <v>744798.71650012967</v>
      </c>
      <c r="Q44" s="4">
        <f t="shared" si="30"/>
        <v>744798.71650012967</v>
      </c>
      <c r="R44">
        <f t="shared" si="30"/>
        <v>0</v>
      </c>
      <c r="S44">
        <f t="shared" si="30"/>
        <v>446879.2299000778</v>
      </c>
      <c r="T44">
        <f t="shared" si="30"/>
        <v>0</v>
      </c>
      <c r="U44">
        <f t="shared" si="30"/>
        <v>595838.97320010373</v>
      </c>
      <c r="V44">
        <f t="shared" si="30"/>
        <v>0</v>
      </c>
      <c r="W44">
        <f t="shared" si="30"/>
        <v>0</v>
      </c>
      <c r="X44">
        <f t="shared" si="30"/>
        <v>0</v>
      </c>
      <c r="Y44">
        <f t="shared" si="30"/>
        <v>0</v>
      </c>
      <c r="Z44">
        <f t="shared" si="30"/>
        <v>0</v>
      </c>
      <c r="AA44">
        <f t="shared" si="30"/>
        <v>0</v>
      </c>
      <c r="AB44">
        <f t="shared" si="30"/>
        <v>0</v>
      </c>
      <c r="AC44">
        <f t="shared" si="30"/>
        <v>0</v>
      </c>
      <c r="AD44">
        <f t="shared" si="30"/>
        <v>0</v>
      </c>
      <c r="AE44">
        <f t="shared" si="30"/>
        <v>0</v>
      </c>
      <c r="AF44">
        <f t="shared" si="30"/>
        <v>0</v>
      </c>
      <c r="AG44">
        <f t="shared" si="30"/>
        <v>0</v>
      </c>
      <c r="AH44">
        <f t="shared" si="30"/>
        <v>0</v>
      </c>
      <c r="AI44">
        <f t="shared" si="30"/>
        <v>0</v>
      </c>
      <c r="AJ44">
        <f t="shared" si="30"/>
        <v>0</v>
      </c>
      <c r="AK44">
        <f t="shared" si="30"/>
        <v>0</v>
      </c>
      <c r="AL44">
        <f t="shared" si="30"/>
        <v>0</v>
      </c>
      <c r="AM44">
        <f t="shared" si="30"/>
        <v>0</v>
      </c>
      <c r="AN44">
        <f t="shared" si="30"/>
        <v>0</v>
      </c>
    </row>
    <row r="46" spans="1:40" s="36" customFormat="1" x14ac:dyDescent="0.3">
      <c r="B46" s="35" t="str">
        <f xml:space="preserve"> "Value Statement" &amp; $F$7</f>
        <v>Value Statement in 2021 prices</v>
      </c>
      <c r="E46" s="16"/>
      <c r="F46" s="37"/>
      <c r="G46" s="37"/>
      <c r="H46" s="37"/>
      <c r="I46" s="37"/>
    </row>
    <row r="47" spans="1:40" x14ac:dyDescent="0.3">
      <c r="D47" s="237" t="str">
        <f t="shared" ref="D47:AN47" si="31" xml:space="preserve"> D$31</f>
        <v>Betterment cost</v>
      </c>
      <c r="E47" s="314"/>
      <c r="F47" s="237">
        <f t="shared" si="31"/>
        <v>0</v>
      </c>
      <c r="G47" s="237" t="str">
        <f t="shared" si="31"/>
        <v>AUD</v>
      </c>
      <c r="H47" s="237">
        <f t="shared" si="31"/>
        <v>-5000000</v>
      </c>
      <c r="I47" s="237">
        <f t="shared" si="31"/>
        <v>0</v>
      </c>
      <c r="J47" s="237">
        <f t="shared" si="31"/>
        <v>-5000000</v>
      </c>
      <c r="K47" s="237">
        <f t="shared" si="31"/>
        <v>0</v>
      </c>
      <c r="L47" s="237">
        <f t="shared" si="31"/>
        <v>0</v>
      </c>
      <c r="M47" s="237">
        <f t="shared" si="31"/>
        <v>0</v>
      </c>
      <c r="N47" s="237">
        <f t="shared" si="31"/>
        <v>0</v>
      </c>
      <c r="O47" s="237">
        <f t="shared" si="31"/>
        <v>0</v>
      </c>
      <c r="P47" s="237">
        <f t="shared" si="31"/>
        <v>0</v>
      </c>
      <c r="Q47" s="237">
        <f t="shared" si="31"/>
        <v>0</v>
      </c>
      <c r="R47" s="237">
        <f t="shared" si="31"/>
        <v>0</v>
      </c>
      <c r="S47" s="237">
        <f t="shared" si="31"/>
        <v>0</v>
      </c>
      <c r="T47" s="237">
        <f t="shared" si="31"/>
        <v>0</v>
      </c>
      <c r="U47" s="237">
        <f t="shared" si="31"/>
        <v>0</v>
      </c>
      <c r="V47" s="237">
        <f t="shared" si="31"/>
        <v>0</v>
      </c>
      <c r="W47" s="237">
        <f t="shared" si="31"/>
        <v>0</v>
      </c>
      <c r="X47" s="237">
        <f t="shared" si="31"/>
        <v>0</v>
      </c>
      <c r="Y47" s="237">
        <f t="shared" si="31"/>
        <v>0</v>
      </c>
      <c r="Z47" s="237">
        <f t="shared" si="31"/>
        <v>0</v>
      </c>
      <c r="AA47" s="237">
        <f t="shared" si="31"/>
        <v>0</v>
      </c>
      <c r="AB47" s="237">
        <f t="shared" si="31"/>
        <v>0</v>
      </c>
      <c r="AC47" s="237">
        <f t="shared" si="31"/>
        <v>0</v>
      </c>
      <c r="AD47" s="237">
        <f t="shared" si="31"/>
        <v>0</v>
      </c>
      <c r="AE47" s="237">
        <f t="shared" si="31"/>
        <v>0</v>
      </c>
      <c r="AF47" s="237">
        <f t="shared" si="31"/>
        <v>0</v>
      </c>
      <c r="AG47" s="237">
        <f t="shared" si="31"/>
        <v>0</v>
      </c>
      <c r="AH47" s="237">
        <f t="shared" si="31"/>
        <v>0</v>
      </c>
      <c r="AI47" s="237">
        <f t="shared" si="31"/>
        <v>0</v>
      </c>
      <c r="AJ47" s="237">
        <f t="shared" si="31"/>
        <v>0</v>
      </c>
      <c r="AK47" s="237">
        <f t="shared" si="31"/>
        <v>0</v>
      </c>
      <c r="AL47" s="237">
        <f t="shared" si="31"/>
        <v>0</v>
      </c>
      <c r="AM47" s="237">
        <f t="shared" si="31"/>
        <v>0</v>
      </c>
      <c r="AN47" s="237">
        <f t="shared" si="31"/>
        <v>0</v>
      </c>
    </row>
    <row r="48" spans="1:40" x14ac:dyDescent="0.3">
      <c r="D48" s="237" t="str">
        <f t="shared" ref="D48:AN48" si="32" xml:space="preserve"> D$39</f>
        <v>Avoided road damage benefit</v>
      </c>
      <c r="E48" s="314"/>
      <c r="F48" s="237">
        <f t="shared" si="32"/>
        <v>0</v>
      </c>
      <c r="G48" s="237" t="str">
        <f t="shared" si="32"/>
        <v>AUD</v>
      </c>
      <c r="H48" s="237">
        <f t="shared" si="32"/>
        <v>10050000</v>
      </c>
      <c r="I48" s="237">
        <f t="shared" si="32"/>
        <v>0</v>
      </c>
      <c r="J48" s="237">
        <f t="shared" si="32"/>
        <v>0</v>
      </c>
      <c r="K48" s="237">
        <f t="shared" si="32"/>
        <v>0</v>
      </c>
      <c r="L48" s="237">
        <f t="shared" si="32"/>
        <v>1675000</v>
      </c>
      <c r="M48" s="237">
        <f t="shared" si="32"/>
        <v>0</v>
      </c>
      <c r="N48" s="237">
        <f t="shared" si="32"/>
        <v>1675000</v>
      </c>
      <c r="O48" s="237">
        <f t="shared" si="32"/>
        <v>0</v>
      </c>
      <c r="P48" s="237">
        <f t="shared" si="32"/>
        <v>1675000</v>
      </c>
      <c r="Q48" s="237">
        <f t="shared" si="32"/>
        <v>1675000</v>
      </c>
      <c r="R48" s="237">
        <f t="shared" si="32"/>
        <v>0</v>
      </c>
      <c r="S48" s="237">
        <f t="shared" si="32"/>
        <v>1675000</v>
      </c>
      <c r="T48" s="237">
        <f t="shared" si="32"/>
        <v>0</v>
      </c>
      <c r="U48" s="237">
        <f t="shared" si="32"/>
        <v>1675000</v>
      </c>
      <c r="V48" s="237">
        <f t="shared" si="32"/>
        <v>0</v>
      </c>
      <c r="W48" s="237">
        <f t="shared" si="32"/>
        <v>0</v>
      </c>
      <c r="X48" s="237">
        <f t="shared" si="32"/>
        <v>0</v>
      </c>
      <c r="Y48" s="237">
        <f t="shared" si="32"/>
        <v>0</v>
      </c>
      <c r="Z48" s="237">
        <f t="shared" si="32"/>
        <v>0</v>
      </c>
      <c r="AA48" s="237">
        <f t="shared" si="32"/>
        <v>0</v>
      </c>
      <c r="AB48" s="237">
        <f t="shared" si="32"/>
        <v>0</v>
      </c>
      <c r="AC48" s="237">
        <f t="shared" si="32"/>
        <v>0</v>
      </c>
      <c r="AD48" s="237">
        <f t="shared" si="32"/>
        <v>0</v>
      </c>
      <c r="AE48" s="237">
        <f t="shared" si="32"/>
        <v>0</v>
      </c>
      <c r="AF48" s="237">
        <f t="shared" si="32"/>
        <v>0</v>
      </c>
      <c r="AG48" s="237">
        <f t="shared" si="32"/>
        <v>0</v>
      </c>
      <c r="AH48" s="237">
        <f t="shared" si="32"/>
        <v>0</v>
      </c>
      <c r="AI48" s="237">
        <f t="shared" si="32"/>
        <v>0</v>
      </c>
      <c r="AJ48" s="237">
        <f t="shared" si="32"/>
        <v>0</v>
      </c>
      <c r="AK48" s="237">
        <f t="shared" si="32"/>
        <v>0</v>
      </c>
      <c r="AL48" s="237">
        <f t="shared" si="32"/>
        <v>0</v>
      </c>
      <c r="AM48" s="237">
        <f t="shared" si="32"/>
        <v>0</v>
      </c>
      <c r="AN48" s="237">
        <f t="shared" si="32"/>
        <v>0</v>
      </c>
    </row>
    <row r="49" spans="2:40" x14ac:dyDescent="0.3">
      <c r="D49" s="39" t="s">
        <v>332</v>
      </c>
      <c r="E49" s="315"/>
      <c r="F49" s="40"/>
      <c r="G49" s="40" t="s">
        <v>99</v>
      </c>
      <c r="H49" s="40">
        <f xml:space="preserve"> SUM(J49:AN49)</f>
        <v>5050000</v>
      </c>
      <c r="I49" s="40"/>
      <c r="J49" s="39">
        <f t="shared" ref="J49:AN49" si="33">SUM(J47:J48)</f>
        <v>-5000000</v>
      </c>
      <c r="K49" s="39">
        <f t="shared" si="33"/>
        <v>0</v>
      </c>
      <c r="L49" s="39">
        <f t="shared" si="33"/>
        <v>1675000</v>
      </c>
      <c r="M49" s="39">
        <f t="shared" si="33"/>
        <v>0</v>
      </c>
      <c r="N49" s="39">
        <f t="shared" si="33"/>
        <v>1675000</v>
      </c>
      <c r="O49" s="39">
        <f t="shared" si="33"/>
        <v>0</v>
      </c>
      <c r="P49" s="39">
        <f t="shared" si="33"/>
        <v>1675000</v>
      </c>
      <c r="Q49" s="39">
        <f t="shared" si="33"/>
        <v>1675000</v>
      </c>
      <c r="R49" s="39">
        <f t="shared" si="33"/>
        <v>0</v>
      </c>
      <c r="S49" s="39">
        <f t="shared" si="33"/>
        <v>1675000</v>
      </c>
      <c r="T49" s="39">
        <f t="shared" si="33"/>
        <v>0</v>
      </c>
      <c r="U49" s="39">
        <f t="shared" si="33"/>
        <v>1675000</v>
      </c>
      <c r="V49" s="39">
        <f t="shared" si="33"/>
        <v>0</v>
      </c>
      <c r="W49" s="39">
        <f t="shared" si="33"/>
        <v>0</v>
      </c>
      <c r="X49" s="39">
        <f t="shared" si="33"/>
        <v>0</v>
      </c>
      <c r="Y49" s="39">
        <f t="shared" si="33"/>
        <v>0</v>
      </c>
      <c r="Z49" s="39">
        <f t="shared" si="33"/>
        <v>0</v>
      </c>
      <c r="AA49" s="39">
        <f t="shared" si="33"/>
        <v>0</v>
      </c>
      <c r="AB49" s="39">
        <f t="shared" si="33"/>
        <v>0</v>
      </c>
      <c r="AC49" s="39">
        <f t="shared" si="33"/>
        <v>0</v>
      </c>
      <c r="AD49" s="39">
        <f t="shared" si="33"/>
        <v>0</v>
      </c>
      <c r="AE49" s="39">
        <f t="shared" si="33"/>
        <v>0</v>
      </c>
      <c r="AF49" s="39">
        <f t="shared" si="33"/>
        <v>0</v>
      </c>
      <c r="AG49" s="39">
        <f t="shared" si="33"/>
        <v>0</v>
      </c>
      <c r="AH49" s="39">
        <f t="shared" si="33"/>
        <v>0</v>
      </c>
      <c r="AI49" s="39">
        <f t="shared" si="33"/>
        <v>0</v>
      </c>
      <c r="AJ49" s="39">
        <f t="shared" si="33"/>
        <v>0</v>
      </c>
      <c r="AK49" s="39">
        <f t="shared" si="33"/>
        <v>0</v>
      </c>
      <c r="AL49" s="39">
        <f t="shared" si="33"/>
        <v>0</v>
      </c>
      <c r="AM49" s="39">
        <f t="shared" si="33"/>
        <v>0</v>
      </c>
      <c r="AN49" s="39">
        <f t="shared" si="33"/>
        <v>0</v>
      </c>
    </row>
    <row r="50" spans="2:40" ht="5.0999999999999996" customHeight="1" x14ac:dyDescent="0.3">
      <c r="Q50" s="4"/>
    </row>
    <row r="51" spans="2:40" s="9" customFormat="1" x14ac:dyDescent="0.3">
      <c r="B51" s="15"/>
      <c r="C51" s="174"/>
      <c r="D51" s="238" t="str">
        <f t="shared" ref="D51:AN51" si="34" xml:space="preserve"> D$44</f>
        <v>Non-road benefits</v>
      </c>
      <c r="E51" s="316"/>
      <c r="F51" s="238">
        <f t="shared" si="34"/>
        <v>0</v>
      </c>
      <c r="G51" s="238" t="str">
        <f t="shared" si="34"/>
        <v>AUD</v>
      </c>
      <c r="H51" s="238">
        <f t="shared" si="34"/>
        <v>4021913.0691007003</v>
      </c>
      <c r="I51" s="238">
        <f t="shared" si="34"/>
        <v>0</v>
      </c>
      <c r="J51" s="238">
        <f t="shared" si="34"/>
        <v>0</v>
      </c>
      <c r="K51" s="238">
        <f t="shared" si="34"/>
        <v>0</v>
      </c>
      <c r="L51" s="238">
        <f t="shared" si="34"/>
        <v>744798.71650012967</v>
      </c>
      <c r="M51" s="238">
        <f t="shared" si="34"/>
        <v>0</v>
      </c>
      <c r="N51" s="238">
        <f t="shared" si="34"/>
        <v>744798.71650012967</v>
      </c>
      <c r="O51" s="238">
        <f t="shared" si="34"/>
        <v>0</v>
      </c>
      <c r="P51" s="238">
        <f t="shared" si="34"/>
        <v>744798.71650012967</v>
      </c>
      <c r="Q51" s="238">
        <f t="shared" si="34"/>
        <v>744798.71650012967</v>
      </c>
      <c r="R51" s="238">
        <f t="shared" si="34"/>
        <v>0</v>
      </c>
      <c r="S51" s="238">
        <f t="shared" si="34"/>
        <v>446879.2299000778</v>
      </c>
      <c r="T51" s="238">
        <f t="shared" si="34"/>
        <v>0</v>
      </c>
      <c r="U51" s="238">
        <f t="shared" si="34"/>
        <v>595838.97320010373</v>
      </c>
      <c r="V51" s="238">
        <f t="shared" si="34"/>
        <v>0</v>
      </c>
      <c r="W51" s="238">
        <f t="shared" si="34"/>
        <v>0</v>
      </c>
      <c r="X51" s="238">
        <f t="shared" si="34"/>
        <v>0</v>
      </c>
      <c r="Y51" s="238">
        <f t="shared" si="34"/>
        <v>0</v>
      </c>
      <c r="Z51" s="238">
        <f t="shared" si="34"/>
        <v>0</v>
      </c>
      <c r="AA51" s="238">
        <f t="shared" si="34"/>
        <v>0</v>
      </c>
      <c r="AB51" s="238">
        <f t="shared" si="34"/>
        <v>0</v>
      </c>
      <c r="AC51" s="238">
        <f t="shared" si="34"/>
        <v>0</v>
      </c>
      <c r="AD51" s="238">
        <f t="shared" si="34"/>
        <v>0</v>
      </c>
      <c r="AE51" s="238">
        <f t="shared" si="34"/>
        <v>0</v>
      </c>
      <c r="AF51" s="238">
        <f t="shared" si="34"/>
        <v>0</v>
      </c>
      <c r="AG51" s="238">
        <f t="shared" si="34"/>
        <v>0</v>
      </c>
      <c r="AH51" s="238">
        <f t="shared" si="34"/>
        <v>0</v>
      </c>
      <c r="AI51" s="238">
        <f t="shared" si="34"/>
        <v>0</v>
      </c>
      <c r="AJ51" s="238">
        <f t="shared" si="34"/>
        <v>0</v>
      </c>
      <c r="AK51" s="238">
        <f t="shared" si="34"/>
        <v>0</v>
      </c>
      <c r="AL51" s="238">
        <f t="shared" si="34"/>
        <v>0</v>
      </c>
      <c r="AM51" s="238">
        <f t="shared" si="34"/>
        <v>0</v>
      </c>
      <c r="AN51" s="238">
        <f t="shared" si="34"/>
        <v>0</v>
      </c>
    </row>
    <row r="52" spans="2:40" x14ac:dyDescent="0.3">
      <c r="D52" s="39" t="s">
        <v>333</v>
      </c>
      <c r="E52" s="315"/>
      <c r="F52" s="40"/>
      <c r="G52" s="40" t="s">
        <v>99</v>
      </c>
      <c r="H52" s="40">
        <f xml:space="preserve"> SUM(J52:AN52)</f>
        <v>9071913.0691007003</v>
      </c>
      <c r="I52" s="40"/>
      <c r="J52" s="39">
        <f t="shared" ref="J52:AN52" si="35" xml:space="preserve"> J49 + J51</f>
        <v>-5000000</v>
      </c>
      <c r="K52" s="39">
        <f t="shared" si="35"/>
        <v>0</v>
      </c>
      <c r="L52" s="39">
        <f t="shared" si="35"/>
        <v>2419798.7165001296</v>
      </c>
      <c r="M52" s="39">
        <f t="shared" si="35"/>
        <v>0</v>
      </c>
      <c r="N52" s="39">
        <f t="shared" si="35"/>
        <v>2419798.7165001296</v>
      </c>
      <c r="O52" s="39">
        <f t="shared" si="35"/>
        <v>0</v>
      </c>
      <c r="P52" s="39">
        <f t="shared" si="35"/>
        <v>2419798.7165001296</v>
      </c>
      <c r="Q52" s="39">
        <f t="shared" si="35"/>
        <v>2419798.7165001296</v>
      </c>
      <c r="R52" s="39">
        <f t="shared" si="35"/>
        <v>0</v>
      </c>
      <c r="S52" s="39">
        <f t="shared" si="35"/>
        <v>2121879.2299000779</v>
      </c>
      <c r="T52" s="39">
        <f t="shared" si="35"/>
        <v>0</v>
      </c>
      <c r="U52" s="39">
        <f t="shared" si="35"/>
        <v>2270838.9732001037</v>
      </c>
      <c r="V52" s="39">
        <f t="shared" si="35"/>
        <v>0</v>
      </c>
      <c r="W52" s="39">
        <f t="shared" si="35"/>
        <v>0</v>
      </c>
      <c r="X52" s="39">
        <f t="shared" si="35"/>
        <v>0</v>
      </c>
      <c r="Y52" s="39">
        <f t="shared" si="35"/>
        <v>0</v>
      </c>
      <c r="Z52" s="39">
        <f t="shared" si="35"/>
        <v>0</v>
      </c>
      <c r="AA52" s="39">
        <f t="shared" si="35"/>
        <v>0</v>
      </c>
      <c r="AB52" s="39">
        <f t="shared" si="35"/>
        <v>0</v>
      </c>
      <c r="AC52" s="39">
        <f t="shared" si="35"/>
        <v>0</v>
      </c>
      <c r="AD52" s="39">
        <f t="shared" si="35"/>
        <v>0</v>
      </c>
      <c r="AE52" s="39">
        <f t="shared" si="35"/>
        <v>0</v>
      </c>
      <c r="AF52" s="39">
        <f t="shared" si="35"/>
        <v>0</v>
      </c>
      <c r="AG52" s="39">
        <f t="shared" si="35"/>
        <v>0</v>
      </c>
      <c r="AH52" s="39">
        <f t="shared" si="35"/>
        <v>0</v>
      </c>
      <c r="AI52" s="39">
        <f t="shared" si="35"/>
        <v>0</v>
      </c>
      <c r="AJ52" s="39">
        <f t="shared" si="35"/>
        <v>0</v>
      </c>
      <c r="AK52" s="39">
        <f t="shared" si="35"/>
        <v>0</v>
      </c>
      <c r="AL52" s="39">
        <f t="shared" si="35"/>
        <v>0</v>
      </c>
      <c r="AM52" s="39">
        <f t="shared" si="35"/>
        <v>0</v>
      </c>
      <c r="AN52" s="39">
        <f t="shared" si="35"/>
        <v>0</v>
      </c>
    </row>
    <row r="54" spans="2:40" x14ac:dyDescent="0.3">
      <c r="B54" s="15" t="s">
        <v>334</v>
      </c>
      <c r="F54"/>
      <c r="G54"/>
      <c r="H54"/>
      <c r="I54"/>
    </row>
    <row r="55" spans="2:40" s="9" customFormat="1" x14ac:dyDescent="0.3">
      <c r="B55" s="21"/>
      <c r="C55" s="43"/>
      <c r="D55" s="8" t="str">
        <f xml:space="preserve"> D$39</f>
        <v>Avoided road damage benefit</v>
      </c>
      <c r="E55" s="317"/>
      <c r="F55" s="8">
        <f t="shared" ref="F55:H55" si="36" xml:space="preserve"> F$39</f>
        <v>0</v>
      </c>
      <c r="G55" s="8" t="str">
        <f t="shared" si="36"/>
        <v>AUD</v>
      </c>
      <c r="H55" s="8">
        <f t="shared" si="36"/>
        <v>10050000</v>
      </c>
      <c r="I55" s="8"/>
      <c r="J55" s="8"/>
    </row>
    <row r="56" spans="2:40" s="9" customFormat="1" x14ac:dyDescent="0.3">
      <c r="B56" s="21"/>
      <c r="C56" s="43"/>
      <c r="D56" s="8" t="str">
        <f xml:space="preserve"> D$31</f>
        <v>Betterment cost</v>
      </c>
      <c r="E56" s="317"/>
      <c r="F56" s="8">
        <f xml:space="preserve"> F$31</f>
        <v>0</v>
      </c>
      <c r="G56" s="8" t="str">
        <f xml:space="preserve"> G$31</f>
        <v>AUD</v>
      </c>
      <c r="H56" s="8">
        <f xml:space="preserve"> H$31</f>
        <v>-5000000</v>
      </c>
      <c r="I56" s="8"/>
      <c r="J56" s="8"/>
    </row>
    <row r="57" spans="2:40" x14ac:dyDescent="0.3">
      <c r="B57" s="99"/>
      <c r="C57" s="201"/>
      <c r="D57" s="101" t="s">
        <v>335</v>
      </c>
      <c r="E57" s="317"/>
      <c r="F57" s="100">
        <f xml:space="preserve"> H55 / ( H56 * -1)</f>
        <v>2.0099999999999998</v>
      </c>
      <c r="G57" s="101" t="s">
        <v>336</v>
      </c>
      <c r="H57" s="100"/>
      <c r="I57" s="100"/>
      <c r="J57" s="100"/>
    </row>
    <row r="58" spans="2:40" x14ac:dyDescent="0.3">
      <c r="B58" s="21"/>
      <c r="C58" s="43"/>
      <c r="D58" s="73"/>
      <c r="E58" s="317"/>
      <c r="F58" s="8"/>
      <c r="G58" s="8"/>
      <c r="H58" s="8"/>
      <c r="I58" s="8"/>
      <c r="J58" s="8"/>
    </row>
    <row r="59" spans="2:40" s="9" customFormat="1" x14ac:dyDescent="0.3">
      <c r="B59" s="21"/>
      <c r="C59" s="43"/>
      <c r="D59" s="8" t="str">
        <f xml:space="preserve"> D$39</f>
        <v>Avoided road damage benefit</v>
      </c>
      <c r="E59" s="317"/>
      <c r="F59" s="8">
        <f t="shared" ref="F59:H59" si="37" xml:space="preserve"> F$39</f>
        <v>0</v>
      </c>
      <c r="G59" s="8" t="str">
        <f t="shared" si="37"/>
        <v>AUD</v>
      </c>
      <c r="H59" s="8">
        <f t="shared" si="37"/>
        <v>10050000</v>
      </c>
      <c r="I59" s="8"/>
      <c r="J59" s="8"/>
    </row>
    <row r="60" spans="2:40" s="9" customFormat="1" x14ac:dyDescent="0.3">
      <c r="B60" s="21"/>
      <c r="C60" s="43"/>
      <c r="D60" s="8" t="str">
        <f xml:space="preserve"> D$44</f>
        <v>Non-road benefits</v>
      </c>
      <c r="E60" s="317"/>
      <c r="F60" s="8">
        <f xml:space="preserve"> F$44</f>
        <v>0</v>
      </c>
      <c r="G60" s="8" t="str">
        <f xml:space="preserve"> G$44</f>
        <v>AUD</v>
      </c>
      <c r="H60" s="8">
        <f xml:space="preserve"> H$44</f>
        <v>4021913.0691007003</v>
      </c>
      <c r="I60" s="8"/>
      <c r="J60" s="8"/>
    </row>
    <row r="61" spans="2:40" s="9" customFormat="1" x14ac:dyDescent="0.3">
      <c r="B61" s="21"/>
      <c r="C61" s="43"/>
      <c r="D61" s="239" t="s">
        <v>337</v>
      </c>
      <c r="E61" s="318"/>
      <c r="F61" s="240"/>
      <c r="G61" s="239" t="s">
        <v>99</v>
      </c>
      <c r="H61" s="239">
        <f>SUM(H59:H60)</f>
        <v>14071913.0691007</v>
      </c>
      <c r="I61" s="8"/>
      <c r="J61" s="8"/>
    </row>
    <row r="62" spans="2:40" s="9" customFormat="1" ht="3.9" customHeight="1" x14ac:dyDescent="0.3">
      <c r="B62" s="21"/>
      <c r="C62" s="43"/>
      <c r="D62" s="8"/>
      <c r="E62" s="317"/>
      <c r="F62" s="8"/>
      <c r="G62" s="8"/>
      <c r="H62" s="8"/>
      <c r="I62" s="8"/>
      <c r="J62" s="8"/>
    </row>
    <row r="63" spans="2:40" s="9" customFormat="1" x14ac:dyDescent="0.3">
      <c r="B63" s="21"/>
      <c r="C63" s="43"/>
      <c r="D63" s="8" t="str">
        <f xml:space="preserve"> D$31</f>
        <v>Betterment cost</v>
      </c>
      <c r="E63" s="317"/>
      <c r="F63" s="8">
        <f xml:space="preserve"> F$31</f>
        <v>0</v>
      </c>
      <c r="G63" s="8" t="str">
        <f xml:space="preserve"> G$31</f>
        <v>AUD</v>
      </c>
      <c r="H63" s="8">
        <f xml:space="preserve"> H$31</f>
        <v>-5000000</v>
      </c>
      <c r="I63" s="8"/>
      <c r="J63" s="8"/>
    </row>
    <row r="64" spans="2:40" x14ac:dyDescent="0.3">
      <c r="B64" s="99"/>
      <c r="C64" s="201"/>
      <c r="D64" s="101" t="s">
        <v>338</v>
      </c>
      <c r="E64" s="317"/>
      <c r="F64" s="100">
        <f xml:space="preserve"> H61 / (H63 * -1)</f>
        <v>2.8143826138201402</v>
      </c>
      <c r="G64" s="101" t="s">
        <v>336</v>
      </c>
      <c r="H64" s="100"/>
      <c r="I64" s="100"/>
      <c r="J64" s="100"/>
    </row>
    <row r="65" spans="2:40" x14ac:dyDescent="0.3">
      <c r="B65" s="21"/>
      <c r="C65" s="43"/>
      <c r="D65" s="73"/>
      <c r="E65" s="317"/>
      <c r="F65" s="8"/>
      <c r="G65" s="8"/>
      <c r="H65" s="8"/>
      <c r="I65" s="8"/>
      <c r="J65" s="8"/>
    </row>
    <row r="66" spans="2:40" x14ac:dyDescent="0.3">
      <c r="B66" s="68" t="s">
        <v>339</v>
      </c>
      <c r="D66" s="70"/>
      <c r="F66" s="70"/>
      <c r="G66" s="70"/>
      <c r="H66" s="70"/>
      <c r="I66" s="70"/>
      <c r="J66" s="70"/>
    </row>
    <row r="67" spans="2:40" s="9" customFormat="1" x14ac:dyDescent="0.3">
      <c r="B67" s="1"/>
      <c r="C67" s="175"/>
      <c r="D67" s="9" t="str">
        <f xml:space="preserve"> D$49</f>
        <v>Net benefits excl. non-road benefits</v>
      </c>
      <c r="E67" s="16"/>
      <c r="F67" s="9">
        <f t="shared" ref="F67:AN67" si="38" xml:space="preserve"> F$49</f>
        <v>0</v>
      </c>
      <c r="G67" s="9" t="str">
        <f t="shared" si="38"/>
        <v>AUD</v>
      </c>
      <c r="H67" s="9">
        <f t="shared" si="38"/>
        <v>5050000</v>
      </c>
      <c r="I67" s="9">
        <f t="shared" si="38"/>
        <v>0</v>
      </c>
      <c r="J67" s="9">
        <f t="shared" si="38"/>
        <v>-5000000</v>
      </c>
      <c r="K67" s="9">
        <f t="shared" si="38"/>
        <v>0</v>
      </c>
      <c r="L67" s="9">
        <f t="shared" si="38"/>
        <v>1675000</v>
      </c>
      <c r="M67" s="9">
        <f t="shared" si="38"/>
        <v>0</v>
      </c>
      <c r="N67" s="9">
        <f t="shared" si="38"/>
        <v>1675000</v>
      </c>
      <c r="O67" s="9">
        <f t="shared" si="38"/>
        <v>0</v>
      </c>
      <c r="P67" s="9">
        <f t="shared" si="38"/>
        <v>1675000</v>
      </c>
      <c r="Q67" s="9">
        <f t="shared" si="38"/>
        <v>1675000</v>
      </c>
      <c r="R67" s="9">
        <f t="shared" si="38"/>
        <v>0</v>
      </c>
      <c r="S67" s="9">
        <f t="shared" si="38"/>
        <v>1675000</v>
      </c>
      <c r="T67" s="9">
        <f t="shared" si="38"/>
        <v>0</v>
      </c>
      <c r="U67" s="9">
        <f t="shared" si="38"/>
        <v>1675000</v>
      </c>
      <c r="V67" s="9">
        <f t="shared" si="38"/>
        <v>0</v>
      </c>
      <c r="W67" s="9">
        <f t="shared" si="38"/>
        <v>0</v>
      </c>
      <c r="X67" s="9">
        <f t="shared" si="38"/>
        <v>0</v>
      </c>
      <c r="Y67" s="9">
        <f t="shared" si="38"/>
        <v>0</v>
      </c>
      <c r="Z67" s="9">
        <f t="shared" si="38"/>
        <v>0</v>
      </c>
      <c r="AA67" s="9">
        <f t="shared" si="38"/>
        <v>0</v>
      </c>
      <c r="AB67" s="9">
        <f t="shared" si="38"/>
        <v>0</v>
      </c>
      <c r="AC67" s="9">
        <f t="shared" si="38"/>
        <v>0</v>
      </c>
      <c r="AD67" s="9">
        <f t="shared" si="38"/>
        <v>0</v>
      </c>
      <c r="AE67" s="9">
        <f t="shared" si="38"/>
        <v>0</v>
      </c>
      <c r="AF67" s="9">
        <f t="shared" si="38"/>
        <v>0</v>
      </c>
      <c r="AG67" s="9">
        <f t="shared" si="38"/>
        <v>0</v>
      </c>
      <c r="AH67" s="9">
        <f t="shared" si="38"/>
        <v>0</v>
      </c>
      <c r="AI67" s="9">
        <f t="shared" si="38"/>
        <v>0</v>
      </c>
      <c r="AJ67" s="9">
        <f t="shared" si="38"/>
        <v>0</v>
      </c>
      <c r="AK67" s="9">
        <f t="shared" si="38"/>
        <v>0</v>
      </c>
      <c r="AL67" s="9">
        <f t="shared" si="38"/>
        <v>0</v>
      </c>
      <c r="AM67" s="9">
        <f t="shared" si="38"/>
        <v>0</v>
      </c>
      <c r="AN67" s="9">
        <f t="shared" si="38"/>
        <v>0</v>
      </c>
    </row>
    <row r="68" spans="2:40" s="115" customFormat="1" x14ac:dyDescent="0.3">
      <c r="B68" s="114"/>
      <c r="C68" s="202"/>
      <c r="D68" s="101" t="s">
        <v>340</v>
      </c>
      <c r="E68" s="317"/>
      <c r="F68" s="114">
        <f xml:space="preserve"> IRR(J67:AN67)</f>
        <v>0.12370642350448269</v>
      </c>
      <c r="G68" s="241" t="s">
        <v>341</v>
      </c>
      <c r="H68" s="104"/>
      <c r="I68" s="104"/>
      <c r="J68" s="104"/>
    </row>
    <row r="69" spans="2:40" x14ac:dyDescent="0.3">
      <c r="B69" s="68"/>
      <c r="C69" s="189"/>
      <c r="D69" s="70"/>
      <c r="F69" s="70"/>
      <c r="G69" s="70"/>
      <c r="H69" s="70"/>
      <c r="I69" s="70"/>
      <c r="J69" s="70"/>
    </row>
    <row r="70" spans="2:40" s="9" customFormat="1" x14ac:dyDescent="0.3">
      <c r="B70" s="1"/>
      <c r="C70" s="175"/>
      <c r="D70" s="9" t="str">
        <f t="shared" ref="D70:AN70" si="39" xml:space="preserve"> D$52</f>
        <v>Net benefits incl. non-road benefits</v>
      </c>
      <c r="E70" s="16"/>
      <c r="F70" s="9">
        <f t="shared" si="39"/>
        <v>0</v>
      </c>
      <c r="G70" s="9" t="str">
        <f t="shared" si="39"/>
        <v>AUD</v>
      </c>
      <c r="H70" s="9">
        <f t="shared" si="39"/>
        <v>9071913.0691007003</v>
      </c>
      <c r="I70" s="9">
        <f t="shared" si="39"/>
        <v>0</v>
      </c>
      <c r="J70" s="9">
        <f t="shared" si="39"/>
        <v>-5000000</v>
      </c>
      <c r="K70" s="9">
        <f t="shared" si="39"/>
        <v>0</v>
      </c>
      <c r="L70" s="9">
        <f t="shared" si="39"/>
        <v>2419798.7165001296</v>
      </c>
      <c r="M70" s="9">
        <f t="shared" si="39"/>
        <v>0</v>
      </c>
      <c r="N70" s="9">
        <f t="shared" si="39"/>
        <v>2419798.7165001296</v>
      </c>
      <c r="O70" s="9">
        <f t="shared" si="39"/>
        <v>0</v>
      </c>
      <c r="P70" s="9">
        <f t="shared" si="39"/>
        <v>2419798.7165001296</v>
      </c>
      <c r="Q70" s="9">
        <f t="shared" si="39"/>
        <v>2419798.7165001296</v>
      </c>
      <c r="R70" s="9">
        <f t="shared" si="39"/>
        <v>0</v>
      </c>
      <c r="S70" s="9">
        <f t="shared" si="39"/>
        <v>2121879.2299000779</v>
      </c>
      <c r="T70" s="9">
        <f t="shared" si="39"/>
        <v>0</v>
      </c>
      <c r="U70" s="9">
        <f t="shared" si="39"/>
        <v>2270838.9732001037</v>
      </c>
      <c r="V70" s="9">
        <f t="shared" si="39"/>
        <v>0</v>
      </c>
      <c r="W70" s="9">
        <f t="shared" si="39"/>
        <v>0</v>
      </c>
      <c r="X70" s="9">
        <f t="shared" si="39"/>
        <v>0</v>
      </c>
      <c r="Y70" s="9">
        <f t="shared" si="39"/>
        <v>0</v>
      </c>
      <c r="Z70" s="9">
        <f t="shared" si="39"/>
        <v>0</v>
      </c>
      <c r="AA70" s="9">
        <f t="shared" si="39"/>
        <v>0</v>
      </c>
      <c r="AB70" s="9">
        <f t="shared" si="39"/>
        <v>0</v>
      </c>
      <c r="AC70" s="9">
        <f t="shared" si="39"/>
        <v>0</v>
      </c>
      <c r="AD70" s="9">
        <f t="shared" si="39"/>
        <v>0</v>
      </c>
      <c r="AE70" s="9">
        <f t="shared" si="39"/>
        <v>0</v>
      </c>
      <c r="AF70" s="9">
        <f t="shared" si="39"/>
        <v>0</v>
      </c>
      <c r="AG70" s="9">
        <f t="shared" si="39"/>
        <v>0</v>
      </c>
      <c r="AH70" s="9">
        <f t="shared" si="39"/>
        <v>0</v>
      </c>
      <c r="AI70" s="9">
        <f t="shared" si="39"/>
        <v>0</v>
      </c>
      <c r="AJ70" s="9">
        <f t="shared" si="39"/>
        <v>0</v>
      </c>
      <c r="AK70" s="9">
        <f t="shared" si="39"/>
        <v>0</v>
      </c>
      <c r="AL70" s="9">
        <f t="shared" si="39"/>
        <v>0</v>
      </c>
      <c r="AM70" s="9">
        <f t="shared" si="39"/>
        <v>0</v>
      </c>
      <c r="AN70" s="9">
        <f t="shared" si="39"/>
        <v>0</v>
      </c>
    </row>
    <row r="71" spans="2:40" s="115" customFormat="1" x14ac:dyDescent="0.3">
      <c r="B71" s="114"/>
      <c r="C71" s="202"/>
      <c r="D71" s="101" t="s">
        <v>342</v>
      </c>
      <c r="E71" s="317"/>
      <c r="F71" s="114">
        <f xml:space="preserve"> IRR(J70:AN70)</f>
        <v>0.20244643105846327</v>
      </c>
      <c r="G71" s="105" t="s">
        <v>341</v>
      </c>
      <c r="H71" s="104"/>
      <c r="I71" s="104"/>
      <c r="J71" s="104"/>
    </row>
    <row r="72" spans="2:40" x14ac:dyDescent="0.3">
      <c r="B72" s="68"/>
      <c r="C72" s="189"/>
      <c r="D72" s="70"/>
      <c r="F72" s="70"/>
      <c r="G72" s="70"/>
      <c r="H72" s="70"/>
      <c r="I72" s="70"/>
      <c r="J72" s="70"/>
    </row>
    <row r="73" spans="2:40" x14ac:dyDescent="0.3">
      <c r="B73" s="68" t="s">
        <v>343</v>
      </c>
      <c r="C73" s="189"/>
      <c r="D73" s="70"/>
      <c r="F73" s="70"/>
      <c r="G73" s="70"/>
      <c r="H73" s="70"/>
      <c r="I73" s="70"/>
      <c r="J73" s="70"/>
    </row>
    <row r="74" spans="2:40" x14ac:dyDescent="0.3">
      <c r="C74" s="175" t="s">
        <v>344</v>
      </c>
      <c r="F74"/>
      <c r="G74"/>
      <c r="H74"/>
      <c r="I74"/>
    </row>
    <row r="75" spans="2:40" s="4" customFormat="1" x14ac:dyDescent="0.3">
      <c r="B75" s="336"/>
      <c r="C75" s="337"/>
      <c r="D75" s="338" t="str">
        <f xml:space="preserve"> 'Key inputs &amp; outputs'!D$63</f>
        <v>PV discount date (date to which values are discounted)</v>
      </c>
      <c r="E75" s="207">
        <f xml:space="preserve"> 'Key inputs &amp; outputs'!E$63</f>
        <v>0</v>
      </c>
      <c r="F75" s="338">
        <f xml:space="preserve"> 'Key inputs &amp; outputs'!F$63</f>
        <v>44926</v>
      </c>
      <c r="G75" s="38" t="str">
        <f xml:space="preserve"> 'Key inputs &amp; outputs'!G$63</f>
        <v>date</v>
      </c>
      <c r="H75" s="339"/>
      <c r="I75" s="339"/>
      <c r="J75" s="339"/>
    </row>
    <row r="76" spans="2:40" s="333" customFormat="1" x14ac:dyDescent="0.3">
      <c r="B76" s="46"/>
      <c r="C76" s="188"/>
      <c r="D76" s="24" t="str">
        <f xml:space="preserve"> 'Key inputs &amp; outputs'!D$64</f>
        <v>Average days per year</v>
      </c>
      <c r="E76" s="207">
        <f xml:space="preserve"> 'Key inputs &amp; outputs'!E$64</f>
        <v>0</v>
      </c>
      <c r="F76" s="24">
        <f xml:space="preserve"> 'Key inputs &amp; outputs'!F$64</f>
        <v>365.25</v>
      </c>
      <c r="G76" s="24" t="str">
        <f xml:space="preserve"> 'Key inputs &amp; outputs'!G$64</f>
        <v>days</v>
      </c>
      <c r="H76" s="47"/>
      <c r="I76" s="47"/>
      <c r="J76" s="47"/>
    </row>
    <row r="77" spans="2:40" s="19" customFormat="1" x14ac:dyDescent="0.3">
      <c r="B77" s="21"/>
      <c r="C77" s="155"/>
      <c r="D77" s="109" t="str">
        <f xml:space="preserve"> D$2</f>
        <v>Modelling period ending</v>
      </c>
      <c r="E77" s="29"/>
      <c r="F77" s="109">
        <f t="shared" ref="F77:I77" si="40" xml:space="preserve"> F$2</f>
        <v>0</v>
      </c>
      <c r="G77" s="109">
        <f t="shared" si="40"/>
        <v>0</v>
      </c>
      <c r="H77" s="109">
        <f t="shared" si="40"/>
        <v>0</v>
      </c>
      <c r="I77" s="109">
        <f t="shared" si="40"/>
        <v>0</v>
      </c>
      <c r="J77" s="109">
        <f t="shared" ref="J77:AN77" si="41" xml:space="preserve"> J$2</f>
        <v>42004</v>
      </c>
      <c r="K77" s="109">
        <f t="shared" si="41"/>
        <v>42369</v>
      </c>
      <c r="L77" s="109">
        <f t="shared" si="41"/>
        <v>42735</v>
      </c>
      <c r="M77" s="109">
        <f t="shared" si="41"/>
        <v>43100</v>
      </c>
      <c r="N77" s="109">
        <f t="shared" si="41"/>
        <v>43465</v>
      </c>
      <c r="O77" s="109">
        <f t="shared" si="41"/>
        <v>43830</v>
      </c>
      <c r="P77" s="109">
        <f t="shared" si="41"/>
        <v>44196</v>
      </c>
      <c r="Q77" s="109">
        <f t="shared" si="41"/>
        <v>44561</v>
      </c>
      <c r="R77" s="109">
        <f t="shared" si="41"/>
        <v>44926</v>
      </c>
      <c r="S77" s="109">
        <f t="shared" si="41"/>
        <v>45291</v>
      </c>
      <c r="T77" s="109">
        <f t="shared" si="41"/>
        <v>45657</v>
      </c>
      <c r="U77" s="109">
        <f t="shared" si="41"/>
        <v>46022</v>
      </c>
      <c r="V77" s="109">
        <f t="shared" si="41"/>
        <v>46387</v>
      </c>
      <c r="W77" s="109">
        <f t="shared" si="41"/>
        <v>46752</v>
      </c>
      <c r="X77" s="109">
        <f t="shared" si="41"/>
        <v>47118</v>
      </c>
      <c r="Y77" s="109">
        <f t="shared" si="41"/>
        <v>47483</v>
      </c>
      <c r="Z77" s="109">
        <f t="shared" si="41"/>
        <v>47848</v>
      </c>
      <c r="AA77" s="109">
        <f t="shared" si="41"/>
        <v>48213</v>
      </c>
      <c r="AB77" s="109">
        <f t="shared" si="41"/>
        <v>48579</v>
      </c>
      <c r="AC77" s="109">
        <f t="shared" si="41"/>
        <v>48944</v>
      </c>
      <c r="AD77" s="109">
        <f t="shared" si="41"/>
        <v>49309</v>
      </c>
      <c r="AE77" s="109">
        <f t="shared" si="41"/>
        <v>49674</v>
      </c>
      <c r="AF77" s="109">
        <f t="shared" si="41"/>
        <v>50040</v>
      </c>
      <c r="AG77" s="109">
        <f t="shared" si="41"/>
        <v>50405</v>
      </c>
      <c r="AH77" s="109">
        <f t="shared" si="41"/>
        <v>50770</v>
      </c>
      <c r="AI77" s="109">
        <f t="shared" si="41"/>
        <v>51135</v>
      </c>
      <c r="AJ77" s="109">
        <f t="shared" si="41"/>
        <v>51501</v>
      </c>
      <c r="AK77" s="109">
        <f t="shared" si="41"/>
        <v>51866</v>
      </c>
      <c r="AL77" s="109">
        <f t="shared" si="41"/>
        <v>52231</v>
      </c>
      <c r="AM77" s="109">
        <f t="shared" si="41"/>
        <v>52596</v>
      </c>
      <c r="AN77" s="109">
        <f t="shared" si="41"/>
        <v>52962</v>
      </c>
    </row>
    <row r="78" spans="2:40" s="71" customFormat="1" x14ac:dyDescent="0.3">
      <c r="B78" s="112"/>
      <c r="C78" s="176"/>
      <c r="D78" s="71" t="s">
        <v>345</v>
      </c>
      <c r="E78" s="16"/>
      <c r="G78" s="71" t="s">
        <v>156</v>
      </c>
      <c r="J78" s="71">
        <f t="shared" ref="J78:AN78" si="42" xml:space="preserve"> ROUND((J77 - $F75) / $F76, 2)</f>
        <v>-8</v>
      </c>
      <c r="K78" s="71">
        <f t="shared" si="42"/>
        <v>-7</v>
      </c>
      <c r="L78" s="71">
        <f t="shared" si="42"/>
        <v>-6</v>
      </c>
      <c r="M78" s="71">
        <f t="shared" si="42"/>
        <v>-5</v>
      </c>
      <c r="N78" s="71">
        <f t="shared" si="42"/>
        <v>-4</v>
      </c>
      <c r="O78" s="71">
        <f t="shared" si="42"/>
        <v>-3</v>
      </c>
      <c r="P78" s="71">
        <f t="shared" si="42"/>
        <v>-2</v>
      </c>
      <c r="Q78" s="71">
        <f t="shared" si="42"/>
        <v>-1</v>
      </c>
      <c r="R78" s="71">
        <f t="shared" si="42"/>
        <v>0</v>
      </c>
      <c r="S78" s="71">
        <f t="shared" si="42"/>
        <v>1</v>
      </c>
      <c r="T78" s="71">
        <f t="shared" si="42"/>
        <v>2</v>
      </c>
      <c r="U78" s="71">
        <f t="shared" si="42"/>
        <v>3</v>
      </c>
      <c r="V78" s="71">
        <f t="shared" si="42"/>
        <v>4</v>
      </c>
      <c r="W78" s="71">
        <f t="shared" si="42"/>
        <v>5</v>
      </c>
      <c r="X78" s="71">
        <f t="shared" si="42"/>
        <v>6</v>
      </c>
      <c r="Y78" s="71">
        <f t="shared" si="42"/>
        <v>7</v>
      </c>
      <c r="Z78" s="71">
        <f t="shared" si="42"/>
        <v>8</v>
      </c>
      <c r="AA78" s="71">
        <f t="shared" si="42"/>
        <v>9</v>
      </c>
      <c r="AB78" s="71">
        <f t="shared" si="42"/>
        <v>10</v>
      </c>
      <c r="AC78" s="71">
        <f t="shared" si="42"/>
        <v>11</v>
      </c>
      <c r="AD78" s="71">
        <f t="shared" si="42"/>
        <v>12</v>
      </c>
      <c r="AE78" s="71">
        <f t="shared" si="42"/>
        <v>13</v>
      </c>
      <c r="AF78" s="71">
        <f t="shared" si="42"/>
        <v>14</v>
      </c>
      <c r="AG78" s="71">
        <f t="shared" si="42"/>
        <v>15</v>
      </c>
      <c r="AH78" s="71">
        <f t="shared" si="42"/>
        <v>16</v>
      </c>
      <c r="AI78" s="71">
        <f t="shared" si="42"/>
        <v>17</v>
      </c>
      <c r="AJ78" s="71">
        <f t="shared" si="42"/>
        <v>18</v>
      </c>
      <c r="AK78" s="71">
        <f t="shared" si="42"/>
        <v>19</v>
      </c>
      <c r="AL78" s="71">
        <f t="shared" si="42"/>
        <v>20</v>
      </c>
      <c r="AM78" s="71">
        <f t="shared" si="42"/>
        <v>21</v>
      </c>
      <c r="AN78" s="71">
        <f t="shared" si="42"/>
        <v>22</v>
      </c>
    </row>
    <row r="79" spans="2:40" ht="5.0999999999999996" customHeight="1" x14ac:dyDescent="0.3"/>
    <row r="80" spans="2:40" x14ac:dyDescent="0.3">
      <c r="B80" s="114"/>
      <c r="C80" s="202"/>
      <c r="D80" s="340" t="str">
        <f xml:space="preserve"> 'Key inputs &amp; outputs'!D$66</f>
        <v>PV discount rate - in unflated (ie excl inflation) terms</v>
      </c>
      <c r="E80" s="207">
        <f xml:space="preserve"> 'Key inputs &amp; outputs'!E$66</f>
        <v>0</v>
      </c>
      <c r="F80" s="340">
        <f xml:space="preserve"> 'Key inputs &amp; outputs'!F$66</f>
        <v>0.05</v>
      </c>
      <c r="G80" s="340" t="str">
        <f xml:space="preserve"> 'Key inputs &amp; outputs'!G$66</f>
        <v>p.a. real</v>
      </c>
      <c r="H80" s="104"/>
      <c r="I80" s="104"/>
      <c r="J80" s="104"/>
      <c r="K80" s="104"/>
      <c r="L80" s="104"/>
      <c r="M80" s="104"/>
      <c r="N80" s="104"/>
      <c r="O80" s="104"/>
      <c r="P80" s="104"/>
      <c r="Q80" s="104"/>
      <c r="R80" s="104"/>
      <c r="S80" s="104"/>
      <c r="T80" s="104"/>
      <c r="U80" s="104"/>
      <c r="V80" s="104"/>
      <c r="W80" s="104"/>
      <c r="X80" s="104"/>
      <c r="Y80" s="104"/>
      <c r="Z80" s="104"/>
      <c r="AA80" s="104"/>
      <c r="AB80" s="104"/>
      <c r="AC80" s="104"/>
      <c r="AD80" s="104"/>
      <c r="AE80" s="104"/>
      <c r="AF80" s="104"/>
      <c r="AG80" s="104"/>
      <c r="AH80" s="104"/>
      <c r="AI80" s="104"/>
      <c r="AJ80" s="104"/>
      <c r="AK80" s="104"/>
      <c r="AL80" s="104"/>
      <c r="AM80" s="104"/>
      <c r="AN80" s="104"/>
    </row>
    <row r="81" spans="1:40" x14ac:dyDescent="0.3">
      <c r="B81" s="107"/>
      <c r="C81" s="203"/>
      <c r="D81" s="108" t="s">
        <v>344</v>
      </c>
      <c r="E81" s="317"/>
      <c r="F81" s="108"/>
      <c r="G81" s="108" t="s">
        <v>79</v>
      </c>
      <c r="H81" s="108"/>
      <c r="I81" s="108"/>
      <c r="J81" s="108">
        <f t="shared" ref="J81:AN81" si="43" xml:space="preserve"> 1 / ((1 + $F80) ^ J78)</f>
        <v>1.4774554437890626</v>
      </c>
      <c r="K81" s="108">
        <f t="shared" si="43"/>
        <v>1.4071004226562502</v>
      </c>
      <c r="L81" s="108">
        <f t="shared" si="43"/>
        <v>1.340095640625</v>
      </c>
      <c r="M81" s="108">
        <f t="shared" si="43"/>
        <v>1.2762815625000001</v>
      </c>
      <c r="N81" s="108">
        <f t="shared" si="43"/>
        <v>1.21550625</v>
      </c>
      <c r="O81" s="108">
        <f t="shared" si="43"/>
        <v>1.1576250000000001</v>
      </c>
      <c r="P81" s="108">
        <f t="shared" si="43"/>
        <v>1.1025</v>
      </c>
      <c r="Q81" s="108">
        <f t="shared" si="43"/>
        <v>1.05</v>
      </c>
      <c r="R81" s="108">
        <f t="shared" si="43"/>
        <v>1</v>
      </c>
      <c r="S81" s="108">
        <f t="shared" si="43"/>
        <v>0.95238095238095233</v>
      </c>
      <c r="T81" s="108">
        <f t="shared" si="43"/>
        <v>0.90702947845804982</v>
      </c>
      <c r="U81" s="108">
        <f t="shared" si="43"/>
        <v>0.86383759853147601</v>
      </c>
      <c r="V81" s="108">
        <f t="shared" si="43"/>
        <v>0.82270247479188197</v>
      </c>
      <c r="W81" s="108">
        <f t="shared" si="43"/>
        <v>0.78352616646845896</v>
      </c>
      <c r="X81" s="108">
        <f t="shared" si="43"/>
        <v>0.74621539663662761</v>
      </c>
      <c r="Y81" s="108">
        <f t="shared" si="43"/>
        <v>0.71068133013012147</v>
      </c>
      <c r="Z81" s="108">
        <f t="shared" si="43"/>
        <v>0.67683936202868722</v>
      </c>
      <c r="AA81" s="108">
        <f t="shared" si="43"/>
        <v>0.64460891621779726</v>
      </c>
      <c r="AB81" s="108">
        <f t="shared" si="43"/>
        <v>0.61391325354075932</v>
      </c>
      <c r="AC81" s="108">
        <f t="shared" si="43"/>
        <v>0.5846792890864374</v>
      </c>
      <c r="AD81" s="108">
        <f t="shared" si="43"/>
        <v>0.5568374181775595</v>
      </c>
      <c r="AE81" s="108">
        <f t="shared" si="43"/>
        <v>0.53032135064529462</v>
      </c>
      <c r="AF81" s="108">
        <f t="shared" si="43"/>
        <v>0.50506795299551888</v>
      </c>
      <c r="AG81" s="108">
        <f t="shared" si="43"/>
        <v>0.48101709809097021</v>
      </c>
      <c r="AH81" s="108">
        <f t="shared" si="43"/>
        <v>0.45811152199140021</v>
      </c>
      <c r="AI81" s="108">
        <f t="shared" si="43"/>
        <v>0.43629668761085727</v>
      </c>
      <c r="AJ81" s="108">
        <f t="shared" si="43"/>
        <v>0.41552065486748313</v>
      </c>
      <c r="AK81" s="108">
        <f t="shared" si="43"/>
        <v>0.39573395701665059</v>
      </c>
      <c r="AL81" s="108">
        <f t="shared" si="43"/>
        <v>0.37688948287300061</v>
      </c>
      <c r="AM81" s="108">
        <f t="shared" si="43"/>
        <v>0.35894236464095297</v>
      </c>
      <c r="AN81" s="108">
        <f t="shared" si="43"/>
        <v>0.3418498710866219</v>
      </c>
    </row>
    <row r="82" spans="1:40" x14ac:dyDescent="0.3">
      <c r="B82" s="1"/>
      <c r="C82" s="175"/>
      <c r="F82"/>
      <c r="G82"/>
      <c r="H82"/>
      <c r="I82"/>
    </row>
    <row r="83" spans="1:40" x14ac:dyDescent="0.3">
      <c r="C83" s="189" t="s">
        <v>346</v>
      </c>
      <c r="D83" s="70"/>
      <c r="F83" s="70"/>
      <c r="G83" s="70"/>
      <c r="H83" s="70"/>
      <c r="I83" s="70"/>
      <c r="J83" s="70"/>
    </row>
    <row r="84" spans="1:40" s="9" customFormat="1" x14ac:dyDescent="0.3">
      <c r="B84" s="1"/>
      <c r="C84" s="175"/>
      <c r="D84" s="9" t="str">
        <f t="shared" ref="D84:AN84" si="44" xml:space="preserve"> D$49</f>
        <v>Net benefits excl. non-road benefits</v>
      </c>
      <c r="E84" s="16"/>
      <c r="F84" s="9">
        <f t="shared" si="44"/>
        <v>0</v>
      </c>
      <c r="G84" s="9" t="str">
        <f t="shared" si="44"/>
        <v>AUD</v>
      </c>
      <c r="H84" s="9">
        <f t="shared" si="44"/>
        <v>5050000</v>
      </c>
      <c r="I84" s="9">
        <f t="shared" si="44"/>
        <v>0</v>
      </c>
      <c r="J84" s="9">
        <f t="shared" si="44"/>
        <v>-5000000</v>
      </c>
      <c r="K84" s="9">
        <f t="shared" si="44"/>
        <v>0</v>
      </c>
      <c r="L84" s="9">
        <f t="shared" si="44"/>
        <v>1675000</v>
      </c>
      <c r="M84" s="9">
        <f t="shared" si="44"/>
        <v>0</v>
      </c>
      <c r="N84" s="9">
        <f t="shared" si="44"/>
        <v>1675000</v>
      </c>
      <c r="O84" s="9">
        <f t="shared" si="44"/>
        <v>0</v>
      </c>
      <c r="P84" s="9">
        <f t="shared" si="44"/>
        <v>1675000</v>
      </c>
      <c r="Q84" s="9">
        <f t="shared" si="44"/>
        <v>1675000</v>
      </c>
      <c r="R84" s="9">
        <f t="shared" si="44"/>
        <v>0</v>
      </c>
      <c r="S84" s="9">
        <f t="shared" si="44"/>
        <v>1675000</v>
      </c>
      <c r="T84" s="9">
        <f t="shared" si="44"/>
        <v>0</v>
      </c>
      <c r="U84" s="9">
        <f t="shared" si="44"/>
        <v>1675000</v>
      </c>
      <c r="V84" s="9">
        <f t="shared" si="44"/>
        <v>0</v>
      </c>
      <c r="W84" s="9">
        <f t="shared" si="44"/>
        <v>0</v>
      </c>
      <c r="X84" s="9">
        <f t="shared" si="44"/>
        <v>0</v>
      </c>
      <c r="Y84" s="9">
        <f t="shared" si="44"/>
        <v>0</v>
      </c>
      <c r="Z84" s="9">
        <f t="shared" si="44"/>
        <v>0</v>
      </c>
      <c r="AA84" s="9">
        <f t="shared" si="44"/>
        <v>0</v>
      </c>
      <c r="AB84" s="9">
        <f t="shared" si="44"/>
        <v>0</v>
      </c>
      <c r="AC84" s="9">
        <f t="shared" si="44"/>
        <v>0</v>
      </c>
      <c r="AD84" s="9">
        <f t="shared" si="44"/>
        <v>0</v>
      </c>
      <c r="AE84" s="9">
        <f t="shared" si="44"/>
        <v>0</v>
      </c>
      <c r="AF84" s="9">
        <f t="shared" si="44"/>
        <v>0</v>
      </c>
      <c r="AG84" s="9">
        <f t="shared" si="44"/>
        <v>0</v>
      </c>
      <c r="AH84" s="9">
        <f t="shared" si="44"/>
        <v>0</v>
      </c>
      <c r="AI84" s="9">
        <f t="shared" si="44"/>
        <v>0</v>
      </c>
      <c r="AJ84" s="9">
        <f t="shared" si="44"/>
        <v>0</v>
      </c>
      <c r="AK84" s="9">
        <f t="shared" si="44"/>
        <v>0</v>
      </c>
      <c r="AL84" s="9">
        <f t="shared" si="44"/>
        <v>0</v>
      </c>
      <c r="AM84" s="9">
        <f t="shared" si="44"/>
        <v>0</v>
      </c>
      <c r="AN84" s="9">
        <f t="shared" si="44"/>
        <v>0</v>
      </c>
    </row>
    <row r="85" spans="1:40" s="111" customFormat="1" x14ac:dyDescent="0.3">
      <c r="B85" s="110"/>
      <c r="C85" s="204"/>
      <c r="D85" s="111" t="str">
        <f t="shared" ref="D85:AN85" si="45" xml:space="preserve"> D$81</f>
        <v>Present Value (PV) discount factor</v>
      </c>
      <c r="E85" s="16"/>
      <c r="F85" s="111">
        <f t="shared" si="45"/>
        <v>0</v>
      </c>
      <c r="G85" s="111" t="str">
        <f t="shared" si="45"/>
        <v>factor</v>
      </c>
      <c r="H85" s="111">
        <f t="shared" si="45"/>
        <v>0</v>
      </c>
      <c r="I85" s="111">
        <f t="shared" si="45"/>
        <v>0</v>
      </c>
      <c r="J85" s="111">
        <f t="shared" si="45"/>
        <v>1.4774554437890626</v>
      </c>
      <c r="K85" s="111">
        <f t="shared" si="45"/>
        <v>1.4071004226562502</v>
      </c>
      <c r="L85" s="111">
        <f t="shared" si="45"/>
        <v>1.340095640625</v>
      </c>
      <c r="M85" s="111">
        <f t="shared" si="45"/>
        <v>1.2762815625000001</v>
      </c>
      <c r="N85" s="111">
        <f t="shared" si="45"/>
        <v>1.21550625</v>
      </c>
      <c r="O85" s="111">
        <f t="shared" si="45"/>
        <v>1.1576250000000001</v>
      </c>
      <c r="P85" s="111">
        <f t="shared" si="45"/>
        <v>1.1025</v>
      </c>
      <c r="Q85" s="111">
        <f t="shared" si="45"/>
        <v>1.05</v>
      </c>
      <c r="R85" s="111">
        <f t="shared" si="45"/>
        <v>1</v>
      </c>
      <c r="S85" s="111">
        <f t="shared" si="45"/>
        <v>0.95238095238095233</v>
      </c>
      <c r="T85" s="111">
        <f t="shared" si="45"/>
        <v>0.90702947845804982</v>
      </c>
      <c r="U85" s="111">
        <f t="shared" si="45"/>
        <v>0.86383759853147601</v>
      </c>
      <c r="V85" s="111">
        <f t="shared" si="45"/>
        <v>0.82270247479188197</v>
      </c>
      <c r="W85" s="111">
        <f t="shared" si="45"/>
        <v>0.78352616646845896</v>
      </c>
      <c r="X85" s="111">
        <f t="shared" si="45"/>
        <v>0.74621539663662761</v>
      </c>
      <c r="Y85" s="111">
        <f t="shared" si="45"/>
        <v>0.71068133013012147</v>
      </c>
      <c r="Z85" s="111">
        <f t="shared" si="45"/>
        <v>0.67683936202868722</v>
      </c>
      <c r="AA85" s="111">
        <f t="shared" si="45"/>
        <v>0.64460891621779726</v>
      </c>
      <c r="AB85" s="111">
        <f t="shared" si="45"/>
        <v>0.61391325354075932</v>
      </c>
      <c r="AC85" s="111">
        <f t="shared" si="45"/>
        <v>0.5846792890864374</v>
      </c>
      <c r="AD85" s="111">
        <f t="shared" si="45"/>
        <v>0.5568374181775595</v>
      </c>
      <c r="AE85" s="111">
        <f t="shared" si="45"/>
        <v>0.53032135064529462</v>
      </c>
      <c r="AF85" s="111">
        <f t="shared" si="45"/>
        <v>0.50506795299551888</v>
      </c>
      <c r="AG85" s="111">
        <f t="shared" si="45"/>
        <v>0.48101709809097021</v>
      </c>
      <c r="AH85" s="111">
        <f t="shared" si="45"/>
        <v>0.45811152199140021</v>
      </c>
      <c r="AI85" s="111">
        <f t="shared" si="45"/>
        <v>0.43629668761085727</v>
      </c>
      <c r="AJ85" s="111">
        <f t="shared" si="45"/>
        <v>0.41552065486748313</v>
      </c>
      <c r="AK85" s="111">
        <f t="shared" si="45"/>
        <v>0.39573395701665059</v>
      </c>
      <c r="AL85" s="111">
        <f t="shared" si="45"/>
        <v>0.37688948287300061</v>
      </c>
      <c r="AM85" s="111">
        <f t="shared" si="45"/>
        <v>0.35894236464095297</v>
      </c>
      <c r="AN85" s="111">
        <f t="shared" si="45"/>
        <v>0.3418498710866219</v>
      </c>
    </row>
    <row r="86" spans="1:40" s="9" customFormat="1" x14ac:dyDescent="0.3">
      <c r="B86" s="1"/>
      <c r="C86" s="175"/>
      <c r="D86" s="246" t="s">
        <v>347</v>
      </c>
      <c r="E86" s="29"/>
      <c r="F86" s="41">
        <f xml:space="preserve"> SUMPRODUCT(J84:AN84, J85:AN85)</f>
        <v>3540959.5206298791</v>
      </c>
      <c r="G86" s="10" t="s">
        <v>99</v>
      </c>
    </row>
    <row r="87" spans="1:40" x14ac:dyDescent="0.3">
      <c r="B87" s="68"/>
      <c r="C87" s="189"/>
      <c r="F87" s="113"/>
    </row>
    <row r="88" spans="1:40" s="9" customFormat="1" x14ac:dyDescent="0.3">
      <c r="B88" s="1"/>
      <c r="C88" s="175"/>
      <c r="D88" s="9" t="str">
        <f t="shared" ref="D88:AN88" si="46" xml:space="preserve"> D$52</f>
        <v>Net benefits incl. non-road benefits</v>
      </c>
      <c r="E88" s="16"/>
      <c r="F88" s="9">
        <f t="shared" si="46"/>
        <v>0</v>
      </c>
      <c r="G88" s="9" t="str">
        <f t="shared" si="46"/>
        <v>AUD</v>
      </c>
      <c r="H88" s="9">
        <f t="shared" si="46"/>
        <v>9071913.0691007003</v>
      </c>
      <c r="I88" s="9">
        <f t="shared" si="46"/>
        <v>0</v>
      </c>
      <c r="J88" s="9">
        <f t="shared" si="46"/>
        <v>-5000000</v>
      </c>
      <c r="K88" s="9">
        <f t="shared" si="46"/>
        <v>0</v>
      </c>
      <c r="L88" s="9">
        <f t="shared" si="46"/>
        <v>2419798.7165001296</v>
      </c>
      <c r="M88" s="9">
        <f t="shared" si="46"/>
        <v>0</v>
      </c>
      <c r="N88" s="9">
        <f t="shared" si="46"/>
        <v>2419798.7165001296</v>
      </c>
      <c r="O88" s="9">
        <f t="shared" si="46"/>
        <v>0</v>
      </c>
      <c r="P88" s="9">
        <f t="shared" si="46"/>
        <v>2419798.7165001296</v>
      </c>
      <c r="Q88" s="9">
        <f t="shared" si="46"/>
        <v>2419798.7165001296</v>
      </c>
      <c r="R88" s="9">
        <f t="shared" si="46"/>
        <v>0</v>
      </c>
      <c r="S88" s="9">
        <f t="shared" si="46"/>
        <v>2121879.2299000779</v>
      </c>
      <c r="T88" s="9">
        <f t="shared" si="46"/>
        <v>0</v>
      </c>
      <c r="U88" s="9">
        <f t="shared" si="46"/>
        <v>2270838.9732001037</v>
      </c>
      <c r="V88" s="9">
        <f t="shared" si="46"/>
        <v>0</v>
      </c>
      <c r="W88" s="9">
        <f t="shared" si="46"/>
        <v>0</v>
      </c>
      <c r="X88" s="9">
        <f t="shared" si="46"/>
        <v>0</v>
      </c>
      <c r="Y88" s="9">
        <f t="shared" si="46"/>
        <v>0</v>
      </c>
      <c r="Z88" s="9">
        <f t="shared" si="46"/>
        <v>0</v>
      </c>
      <c r="AA88" s="9">
        <f t="shared" si="46"/>
        <v>0</v>
      </c>
      <c r="AB88" s="9">
        <f t="shared" si="46"/>
        <v>0</v>
      </c>
      <c r="AC88" s="9">
        <f t="shared" si="46"/>
        <v>0</v>
      </c>
      <c r="AD88" s="9">
        <f t="shared" si="46"/>
        <v>0</v>
      </c>
      <c r="AE88" s="9">
        <f t="shared" si="46"/>
        <v>0</v>
      </c>
      <c r="AF88" s="9">
        <f t="shared" si="46"/>
        <v>0</v>
      </c>
      <c r="AG88" s="9">
        <f t="shared" si="46"/>
        <v>0</v>
      </c>
      <c r="AH88" s="9">
        <f t="shared" si="46"/>
        <v>0</v>
      </c>
      <c r="AI88" s="9">
        <f t="shared" si="46"/>
        <v>0</v>
      </c>
      <c r="AJ88" s="9">
        <f t="shared" si="46"/>
        <v>0</v>
      </c>
      <c r="AK88" s="9">
        <f t="shared" si="46"/>
        <v>0</v>
      </c>
      <c r="AL88" s="9">
        <f t="shared" si="46"/>
        <v>0</v>
      </c>
      <c r="AM88" s="9">
        <f t="shared" si="46"/>
        <v>0</v>
      </c>
      <c r="AN88" s="9">
        <f t="shared" si="46"/>
        <v>0</v>
      </c>
    </row>
    <row r="89" spans="1:40" s="111" customFormat="1" x14ac:dyDescent="0.3">
      <c r="B89" s="110"/>
      <c r="C89" s="204"/>
      <c r="D89" s="111" t="str">
        <f t="shared" ref="D89:AN89" si="47" xml:space="preserve"> D$81</f>
        <v>Present Value (PV) discount factor</v>
      </c>
      <c r="E89" s="16"/>
      <c r="F89" s="111">
        <f t="shared" si="47"/>
        <v>0</v>
      </c>
      <c r="G89" s="111" t="str">
        <f t="shared" si="47"/>
        <v>factor</v>
      </c>
      <c r="H89" s="111">
        <f t="shared" si="47"/>
        <v>0</v>
      </c>
      <c r="I89" s="111">
        <f t="shared" si="47"/>
        <v>0</v>
      </c>
      <c r="J89" s="111">
        <f t="shared" si="47"/>
        <v>1.4774554437890626</v>
      </c>
      <c r="K89" s="111">
        <f t="shared" si="47"/>
        <v>1.4071004226562502</v>
      </c>
      <c r="L89" s="111">
        <f t="shared" si="47"/>
        <v>1.340095640625</v>
      </c>
      <c r="M89" s="111">
        <f t="shared" si="47"/>
        <v>1.2762815625000001</v>
      </c>
      <c r="N89" s="111">
        <f t="shared" si="47"/>
        <v>1.21550625</v>
      </c>
      <c r="O89" s="111">
        <f t="shared" si="47"/>
        <v>1.1576250000000001</v>
      </c>
      <c r="P89" s="111">
        <f t="shared" si="47"/>
        <v>1.1025</v>
      </c>
      <c r="Q89" s="111">
        <f t="shared" si="47"/>
        <v>1.05</v>
      </c>
      <c r="R89" s="111">
        <f t="shared" si="47"/>
        <v>1</v>
      </c>
      <c r="S89" s="111">
        <f t="shared" si="47"/>
        <v>0.95238095238095233</v>
      </c>
      <c r="T89" s="111">
        <f t="shared" si="47"/>
        <v>0.90702947845804982</v>
      </c>
      <c r="U89" s="111">
        <f t="shared" si="47"/>
        <v>0.86383759853147601</v>
      </c>
      <c r="V89" s="111">
        <f t="shared" si="47"/>
        <v>0.82270247479188197</v>
      </c>
      <c r="W89" s="111">
        <f t="shared" si="47"/>
        <v>0.78352616646845896</v>
      </c>
      <c r="X89" s="111">
        <f t="shared" si="47"/>
        <v>0.74621539663662761</v>
      </c>
      <c r="Y89" s="111">
        <f t="shared" si="47"/>
        <v>0.71068133013012147</v>
      </c>
      <c r="Z89" s="111">
        <f t="shared" si="47"/>
        <v>0.67683936202868722</v>
      </c>
      <c r="AA89" s="111">
        <f t="shared" si="47"/>
        <v>0.64460891621779726</v>
      </c>
      <c r="AB89" s="111">
        <f t="shared" si="47"/>
        <v>0.61391325354075932</v>
      </c>
      <c r="AC89" s="111">
        <f t="shared" si="47"/>
        <v>0.5846792890864374</v>
      </c>
      <c r="AD89" s="111">
        <f t="shared" si="47"/>
        <v>0.5568374181775595</v>
      </c>
      <c r="AE89" s="111">
        <f t="shared" si="47"/>
        <v>0.53032135064529462</v>
      </c>
      <c r="AF89" s="111">
        <f t="shared" si="47"/>
        <v>0.50506795299551888</v>
      </c>
      <c r="AG89" s="111">
        <f t="shared" si="47"/>
        <v>0.48101709809097021</v>
      </c>
      <c r="AH89" s="111">
        <f t="shared" si="47"/>
        <v>0.45811152199140021</v>
      </c>
      <c r="AI89" s="111">
        <f t="shared" si="47"/>
        <v>0.43629668761085727</v>
      </c>
      <c r="AJ89" s="111">
        <f t="shared" si="47"/>
        <v>0.41552065486748313</v>
      </c>
      <c r="AK89" s="111">
        <f t="shared" si="47"/>
        <v>0.39573395701665059</v>
      </c>
      <c r="AL89" s="111">
        <f t="shared" si="47"/>
        <v>0.37688948287300061</v>
      </c>
      <c r="AM89" s="111">
        <f t="shared" si="47"/>
        <v>0.35894236464095297</v>
      </c>
      <c r="AN89" s="111">
        <f t="shared" si="47"/>
        <v>0.3418498710866219</v>
      </c>
    </row>
    <row r="90" spans="1:40" s="9" customFormat="1" x14ac:dyDescent="0.3">
      <c r="B90" s="1"/>
      <c r="C90" s="175"/>
      <c r="D90" s="246" t="s">
        <v>348</v>
      </c>
      <c r="E90" s="29"/>
      <c r="F90" s="41">
        <f xml:space="preserve"> SUMPRODUCT(J88:AN88, J89:AN89)</f>
        <v>7987855.1402113531</v>
      </c>
      <c r="G90" s="10" t="s">
        <v>99</v>
      </c>
    </row>
    <row r="91" spans="1:40" x14ac:dyDescent="0.3">
      <c r="B91" s="68"/>
      <c r="C91" s="189"/>
    </row>
    <row r="92" spans="1:40" x14ac:dyDescent="0.3">
      <c r="A92" s="15" t="s">
        <v>27</v>
      </c>
    </row>
  </sheetData>
  <pageMargins left="0.70866141732283472" right="0.70866141732283472" top="0.74803149606299213" bottom="0.74803149606299213" header="0.31496062992125984" footer="0.31496062992125984"/>
  <pageSetup paperSize="9" scale="55" orientation="landscape"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F0F21-8772-49F0-AE03-F5073749EEB6}">
  <sheetPr>
    <pageSetUpPr fitToPage="1"/>
  </sheetPr>
  <dimension ref="A1:G20"/>
  <sheetViews>
    <sheetView zoomScaleNormal="100" workbookViewId="0">
      <pane ySplit="2" topLeftCell="A11" activePane="bottomLeft" state="frozen"/>
      <selection activeCell="F40" sqref="F40"/>
      <selection pane="bottomLeft" activeCell="C22" sqref="C22"/>
    </sheetView>
  </sheetViews>
  <sheetFormatPr defaultColWidth="8.88671875" defaultRowHeight="14.4" x14ac:dyDescent="0.3"/>
  <cols>
    <col min="1" max="1" width="1.5546875" customWidth="1"/>
    <col min="2" max="2" width="3.5546875" style="93" customWidth="1"/>
    <col min="3" max="3" width="120.5546875" style="2" customWidth="1"/>
    <col min="4" max="4" width="16.88671875" style="127" customWidth="1"/>
    <col min="5" max="7" width="16.88671875" customWidth="1"/>
    <col min="8" max="8" width="20.44140625" customWidth="1"/>
  </cols>
  <sheetData>
    <row r="1" spans="1:7" ht="24.6" x14ac:dyDescent="0.3">
      <c r="A1" s="32" t="str">
        <f ca="1" xml:space="preserve"> RIGHT(CELL("filename", A1), LEN(CELL("filename", A1)) - SEARCH("]", CELL("filename", A1)))</f>
        <v>References &amp; Notes</v>
      </c>
      <c r="B1" s="19"/>
      <c r="D1" s="289"/>
      <c r="E1" s="4"/>
      <c r="F1" s="4"/>
      <c r="G1" s="4"/>
    </row>
    <row r="2" spans="1:7" x14ac:dyDescent="0.3">
      <c r="B2" s="8" t="s">
        <v>349</v>
      </c>
      <c r="C2" s="323" t="s">
        <v>350</v>
      </c>
      <c r="F2" s="28"/>
    </row>
    <row r="3" spans="1:7" x14ac:dyDescent="0.3">
      <c r="B3" s="8"/>
      <c r="F3" s="28"/>
    </row>
    <row r="4" spans="1:7" ht="45" customHeight="1" x14ac:dyDescent="0.3">
      <c r="B4" s="93">
        <f xml:space="preserve"> ROW() - 3</f>
        <v>1</v>
      </c>
      <c r="C4" s="324" t="s">
        <v>351</v>
      </c>
    </row>
    <row r="5" spans="1:7" ht="45" customHeight="1" x14ac:dyDescent="0.3">
      <c r="B5" s="93">
        <f t="shared" ref="B5:B18" si="0" xml:space="preserve"> ROW() - 3</f>
        <v>2</v>
      </c>
      <c r="C5" s="2" t="s">
        <v>352</v>
      </c>
    </row>
    <row r="6" spans="1:7" ht="45" customHeight="1" x14ac:dyDescent="0.3">
      <c r="B6" s="93">
        <f t="shared" si="0"/>
        <v>3</v>
      </c>
      <c r="C6" s="325" t="s">
        <v>353</v>
      </c>
    </row>
    <row r="7" spans="1:7" ht="45" customHeight="1" x14ac:dyDescent="0.3">
      <c r="B7" s="93">
        <f t="shared" si="0"/>
        <v>4</v>
      </c>
      <c r="C7" s="325" t="s">
        <v>354</v>
      </c>
    </row>
    <row r="8" spans="1:7" ht="45" customHeight="1" x14ac:dyDescent="0.3">
      <c r="B8" s="93">
        <f t="shared" si="0"/>
        <v>5</v>
      </c>
      <c r="C8" s="325" t="s">
        <v>355</v>
      </c>
    </row>
    <row r="9" spans="1:7" ht="45" customHeight="1" x14ac:dyDescent="0.3">
      <c r="B9" s="93">
        <f t="shared" si="0"/>
        <v>6</v>
      </c>
      <c r="C9" s="325" t="s">
        <v>356</v>
      </c>
    </row>
    <row r="10" spans="1:7" ht="45" customHeight="1" x14ac:dyDescent="0.3">
      <c r="B10" s="93">
        <f t="shared" si="0"/>
        <v>7</v>
      </c>
      <c r="C10" s="325" t="s">
        <v>357</v>
      </c>
    </row>
    <row r="11" spans="1:7" ht="45" customHeight="1" x14ac:dyDescent="0.3">
      <c r="B11" s="93">
        <f t="shared" si="0"/>
        <v>8</v>
      </c>
      <c r="C11" s="2" t="s">
        <v>358</v>
      </c>
    </row>
    <row r="12" spans="1:7" ht="45" customHeight="1" x14ac:dyDescent="0.3">
      <c r="B12" s="93">
        <f t="shared" si="0"/>
        <v>9</v>
      </c>
      <c r="C12" s="329" t="s">
        <v>359</v>
      </c>
    </row>
    <row r="13" spans="1:7" ht="45" customHeight="1" x14ac:dyDescent="0.3">
      <c r="B13" s="93">
        <f t="shared" si="0"/>
        <v>10</v>
      </c>
      <c r="C13" s="330" t="s">
        <v>360</v>
      </c>
    </row>
    <row r="14" spans="1:7" ht="45" customHeight="1" x14ac:dyDescent="0.3">
      <c r="B14" s="93">
        <f t="shared" si="0"/>
        <v>11</v>
      </c>
      <c r="C14" s="342" t="s">
        <v>361</v>
      </c>
    </row>
    <row r="15" spans="1:7" ht="45" customHeight="1" x14ac:dyDescent="0.3">
      <c r="B15" s="93">
        <f t="shared" si="0"/>
        <v>12</v>
      </c>
    </row>
    <row r="16" spans="1:7" ht="45" customHeight="1" x14ac:dyDescent="0.3">
      <c r="B16" s="93">
        <f t="shared" si="0"/>
        <v>13</v>
      </c>
    </row>
    <row r="17" spans="1:2" ht="45" customHeight="1" x14ac:dyDescent="0.3">
      <c r="B17" s="93">
        <f t="shared" si="0"/>
        <v>14</v>
      </c>
    </row>
    <row r="18" spans="1:2" ht="45" customHeight="1" x14ac:dyDescent="0.3">
      <c r="B18" s="93">
        <f t="shared" si="0"/>
        <v>15</v>
      </c>
    </row>
    <row r="19" spans="1:2" ht="45" customHeight="1" x14ac:dyDescent="0.3"/>
    <row r="20" spans="1:2" ht="45" customHeight="1" x14ac:dyDescent="0.3">
      <c r="A20" s="1" t="s">
        <v>27</v>
      </c>
    </row>
  </sheetData>
  <hyperlinks>
    <hyperlink ref="C4" r:id="rId1" display="https://www.rba.gov.au/calculator/annualDecimal.html" xr:uid="{16AF565A-3757-42F7-B015-C547E777E791}"/>
    <hyperlink ref="C14" r:id="rId2" xr:uid="{2271AE13-0263-4DE0-BAD0-C39C2E39BDDC}"/>
  </hyperlinks>
  <pageMargins left="0.7" right="0.7" top="0.75" bottom="0.75" header="0.3" footer="0.3"/>
  <pageSetup paperSize="9" scale="61" fitToHeight="0" orientation="portrait" horizontalDpi="300" verticalDpi="300"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D14E735101C004AA007216C4F5840E8" ma:contentTypeVersion="18" ma:contentTypeDescription="Create a new document." ma:contentTypeScope="" ma:versionID="d80a916b5784a8c31ee478415e5a065f">
  <xsd:schema xmlns:xsd="http://www.w3.org/2001/XMLSchema" xmlns:xs="http://www.w3.org/2001/XMLSchema" xmlns:p="http://schemas.microsoft.com/office/2006/metadata/properties" xmlns:ns1="http://schemas.microsoft.com/sharepoint/v3" xmlns:ns2="651bf6b3-ef7a-4355-ae27-d6a38f2023c1" xmlns:ns3="6f41dd98-b56a-4259-893e-7b1d7ecbb81a" targetNamespace="http://schemas.microsoft.com/office/2006/metadata/properties" ma:root="true" ma:fieldsID="fde193c6090d87a593a246d607d785b8" ns1:_="" ns2:_="" ns3:_="">
    <xsd:import namespace="http://schemas.microsoft.com/sharepoint/v3"/>
    <xsd:import namespace="651bf6b3-ef7a-4355-ae27-d6a38f2023c1"/>
    <xsd:import namespace="6f41dd98-b56a-4259-893e-7b1d7ecbb81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CR" minOccurs="0"/>
                <xsd:element ref="ns2:MediaServiceGenerationTime" minOccurs="0"/>
                <xsd:element ref="ns2:MediaServiceEventHashCode" minOccurs="0"/>
                <xsd:element ref="ns2:MediaServiceDateTaken" minOccurs="0"/>
                <xsd:element ref="ns1:_ip_UnifiedCompliancePolicyProperties" minOccurs="0"/>
                <xsd:element ref="ns1:_ip_UnifiedCompliancePolicyUIAction" minOccurs="0"/>
                <xsd:element ref="ns2:MediaServiceLoca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1bf6b3-ef7a-4355-ae27-d6a38f2023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d88a5942-9b27-4a7b-8de0-795e82ee741e"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f41dd98-b56a-4259-893e-7b1d7ecbb81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e7661c03-40f5-415e-8745-ce447b14d0d6}" ma:internalName="TaxCatchAll" ma:showField="CatchAllData" ma:web="6f41dd98-b56a-4259-893e-7b1d7ecbb81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6f41dd98-b56a-4259-893e-7b1d7ecbb81a" xsi:nil="true"/>
    <lcf76f155ced4ddcb4097134ff3c332f xmlns="651bf6b3-ef7a-4355-ae27-d6a38f2023c1">
      <Terms xmlns="http://schemas.microsoft.com/office/infopath/2007/PartnerControls"/>
    </lcf76f155ced4ddcb4097134ff3c332f>
    <SharedWithUsers xmlns="6f41dd98-b56a-4259-893e-7b1d7ecbb81a">
      <UserInfo>
        <DisplayName>Benjamin Simmons</DisplayName>
        <AccountId>346</AccountId>
        <AccountType/>
      </UserInfo>
      <UserInfo>
        <DisplayName>andrea.bassi</DisplayName>
        <AccountId>15</AccountId>
        <AccountType/>
      </UserInfo>
      <UserInfo>
        <DisplayName>Liesbeth Casier</DisplayName>
        <AccountId>6</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4FE75D-64EA-4C5D-AB0C-02543297EA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51bf6b3-ef7a-4355-ae27-d6a38f2023c1"/>
    <ds:schemaRef ds:uri="6f41dd98-b56a-4259-893e-7b1d7ecbb81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25803CD-A950-48DC-A19D-9EE9A5F1A8DF}">
  <ds:schemaRefs>
    <ds:schemaRef ds:uri="http://schemas.microsoft.com/office/2006/metadata/properties"/>
    <ds:schemaRef ds:uri="http://schemas.microsoft.com/office/infopath/2007/PartnerControls"/>
    <ds:schemaRef ds:uri="http://schemas.microsoft.com/sharepoint/v3"/>
    <ds:schemaRef ds:uri="6f41dd98-b56a-4259-893e-7b1d7ecbb81a"/>
    <ds:schemaRef ds:uri="651bf6b3-ef7a-4355-ae27-d6a38f2023c1"/>
  </ds:schemaRefs>
</ds:datastoreItem>
</file>

<file path=customXml/itemProps3.xml><?xml version="1.0" encoding="utf-8"?>
<ds:datastoreItem xmlns:ds="http://schemas.openxmlformats.org/officeDocument/2006/customXml" ds:itemID="{708ED354-0CD2-462D-971D-6005FA38AE4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Guide</vt:lpstr>
      <vt:lpstr>Key inputs &amp; outputs</vt:lpstr>
      <vt:lpstr>Other inputs</vt:lpstr>
      <vt:lpstr>Non-road benefits calcs</vt:lpstr>
      <vt:lpstr>Analysis</vt:lpstr>
      <vt:lpstr>References &amp; Notes</vt:lpstr>
      <vt:lpstr>Case_list</vt:lpstr>
      <vt:lpstr>Crop_and_fruit_list</vt:lpstr>
      <vt:lpstr>Livestock_list</vt:lpstr>
      <vt:lpstr>Analysis!Print_Titles</vt:lpstr>
      <vt:lpstr>'Non-road benefits calcs'!Print_Titles</vt:lpstr>
      <vt:lpstr>'Other inputs'!Print_Titles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2022-08-31T14:42:57Z</dcterms:created>
  <dcterms:modified xsi:type="dcterms:W3CDTF">2023-06-08T09:30:11Z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0x0101005D14E735101C004AA007216C4F5840E8</vt:lpwstr>
  </property>
  <property fmtid="{D5CDD505-2E9C-101B-9397-08002B2CF9AE}" pid="3" name="MediaServiceImageTags">
    <vt:lpwstr/>
  </property>
</Properties>
</file>