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F1C8B2FF-73F8-474D-976A-A4C7335C21CD}" xr6:coauthVersionLast="40" xr6:coauthVersionMax="40" xr10:uidLastSave="{00000000-0000-0000-0000-000000000000}"/>
  <bookViews>
    <workbookView xWindow="-120" yWindow="-120" windowWidth="29040" windowHeight="15840" tabRatio="945" firstSheet="10" activeTab="10" xr2:uid="{00000000-000D-0000-FFFF-FFFF00000000}"/>
  </bookViews>
  <sheets>
    <sheet name="Index" sheetId="21" r:id="rId1"/>
    <sheet name="S - Solar Park Model" sheetId="25" r:id="rId2"/>
    <sheet name="S - SPM Pre-GST" sheetId="26" r:id="rId3"/>
    <sheet name="S - SPM Post-GST" sheetId="27" r:id="rId4"/>
    <sheet name="S - Generation" sheetId="28" r:id="rId5"/>
    <sheet name="S - Working Capital" sheetId="29" r:id="rId6"/>
    <sheet name="C - Assumptions" sheetId="1" r:id="rId7"/>
    <sheet name="C_D - Pre-GST LCOE" sheetId="23" r:id="rId8"/>
    <sheet name="C_D - Post-GST LCOE" sheetId="24" r:id="rId9"/>
    <sheet name="C_DI - Pre-GST LCOE" sheetId="12" r:id="rId10"/>
    <sheet name="C_DI - Post-GST LCOE" sheetId="13" r:id="rId11"/>
    <sheet name="C_D - VC" sheetId="20" r:id="rId12"/>
    <sheet name="C_D - Energy Charges" sheetId="22" r:id="rId13"/>
    <sheet name="C_DI - VC" sheetId="4" r:id="rId14"/>
    <sheet name="C_DI - Energy Charges" sheetId="16" r:id="rId15"/>
    <sheet name="C - Capital Cost" sheetId="6" r:id="rId16"/>
    <sheet name="C - O&amp;M" sheetId="7" r:id="rId17"/>
    <sheet name="C - RoE" sheetId="8" r:id="rId18"/>
    <sheet name="C - Depreciation" sheetId="9" r:id="rId19"/>
    <sheet name="C - Interest on Loan" sheetId="10" r:id="rId20"/>
    <sheet name="C - Interest on WC" sheetId="11" r:id="rId21"/>
    <sheet name="C - Generation" sheetId="14" r:id="rId22"/>
    <sheet name="C - Hard Cost" sheetId="18" r:id="rId23"/>
    <sheet name="Exchange Rate" sheetId="19" r:id="rId24"/>
  </sheets>
  <externalReferences>
    <externalReference r:id="rId25"/>
    <externalReference r:id="rId26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6" l="1"/>
  <c r="G29" i="16" s="1"/>
  <c r="N27" i="16"/>
  <c r="M27" i="16"/>
  <c r="F26" i="16"/>
  <c r="F30" i="16" s="1"/>
  <c r="L25" i="16"/>
  <c r="G25" i="16"/>
  <c r="G26" i="16" s="1"/>
  <c r="G24" i="16"/>
  <c r="M23" i="16"/>
  <c r="M25" i="16" s="1"/>
  <c r="G23" i="16"/>
  <c r="M22" i="16"/>
  <c r="N22" i="16" s="1"/>
  <c r="M21" i="16"/>
  <c r="N21" i="16" s="1"/>
  <c r="M16" i="16"/>
  <c r="N16" i="16" s="1"/>
  <c r="F14" i="16"/>
  <c r="G14" i="16" s="1"/>
  <c r="M13" i="16"/>
  <c r="F13" i="16"/>
  <c r="M10" i="16"/>
  <c r="M11" i="16" s="1"/>
  <c r="F10" i="16"/>
  <c r="F12" i="16" s="1"/>
  <c r="M9" i="16"/>
  <c r="F9" i="16"/>
  <c r="M8" i="16"/>
  <c r="F8" i="16"/>
  <c r="M7" i="16"/>
  <c r="G7" i="16"/>
  <c r="G15" i="16" s="1"/>
  <c r="N6" i="16"/>
  <c r="N7" i="16" s="1"/>
  <c r="N15" i="16" s="1"/>
  <c r="M5" i="16"/>
  <c r="G5" i="16"/>
  <c r="N5" i="16" s="1"/>
  <c r="N4" i="16"/>
  <c r="L4" i="16"/>
  <c r="L3" i="16"/>
  <c r="N17" i="16" l="1"/>
  <c r="N18" i="16"/>
  <c r="N20" i="16" s="1"/>
  <c r="G17" i="16"/>
  <c r="G22" i="16" s="1"/>
  <c r="G20" i="16"/>
  <c r="G18" i="16"/>
  <c r="N25" i="16"/>
  <c r="G30" i="16"/>
  <c r="G28" i="16"/>
  <c r="G27" i="16"/>
  <c r="G31" i="16" s="1"/>
  <c r="G32" i="16" s="1"/>
  <c r="M12" i="16"/>
  <c r="M15" i="16" s="1"/>
  <c r="M18" i="16" s="1"/>
  <c r="M20" i="16" s="1"/>
  <c r="F11" i="16"/>
  <c r="F15" i="16" s="1"/>
  <c r="N23" i="16"/>
  <c r="N24" i="16" s="1"/>
  <c r="F27" i="16"/>
  <c r="F28" i="16"/>
  <c r="M24" i="16"/>
  <c r="E20" i="13"/>
  <c r="E20" i="12"/>
  <c r="F20" i="16" l="1"/>
  <c r="F19" i="16"/>
  <c r="F22" i="16" s="1"/>
  <c r="M28" i="16"/>
  <c r="M26" i="16"/>
  <c r="N28" i="16"/>
  <c r="N26" i="16"/>
  <c r="N29" i="16" s="1"/>
  <c r="N30" i="16" s="1"/>
  <c r="F31" i="16"/>
  <c r="F32" i="16" s="1"/>
  <c r="F33" i="16" s="1"/>
  <c r="G34" i="16" s="1"/>
  <c r="F20" i="13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AA20" i="13" s="1"/>
  <c r="AB20" i="13" s="1"/>
  <c r="AC20" i="13" s="1"/>
  <c r="F20" i="12"/>
  <c r="G20" i="12" s="1"/>
  <c r="H20" i="12" s="1"/>
  <c r="I20" i="12" s="1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20" i="12" s="1"/>
  <c r="X20" i="12" s="1"/>
  <c r="Y20" i="12" s="1"/>
  <c r="Z20" i="12" s="1"/>
  <c r="AA20" i="12" s="1"/>
  <c r="AB20" i="12" s="1"/>
  <c r="AC20" i="12" s="1"/>
  <c r="M29" i="16" l="1"/>
  <c r="M30" i="16" s="1"/>
  <c r="M31" i="16" s="1"/>
  <c r="N32" i="16" s="1"/>
  <c r="D4" i="28"/>
  <c r="E4" i="28"/>
  <c r="F4" i="28"/>
  <c r="G4" i="28"/>
  <c r="H4" i="28"/>
  <c r="I4" i="28"/>
  <c r="I6" i="28" s="1"/>
  <c r="I7" i="28" s="1"/>
  <c r="J4" i="28"/>
  <c r="K4" i="28"/>
  <c r="L4" i="28"/>
  <c r="M4" i="28"/>
  <c r="N4" i="28"/>
  <c r="O4" i="28"/>
  <c r="P4" i="28"/>
  <c r="Q4" i="28"/>
  <c r="Q6" i="28" s="1"/>
  <c r="Q7" i="28" s="1"/>
  <c r="R4" i="28"/>
  <c r="S4" i="28"/>
  <c r="T4" i="28"/>
  <c r="U4" i="28"/>
  <c r="V4" i="28"/>
  <c r="W4" i="28"/>
  <c r="X4" i="28"/>
  <c r="Y4" i="28"/>
  <c r="Y6" i="28" s="1"/>
  <c r="Y7" i="28" s="1"/>
  <c r="Z4" i="28"/>
  <c r="AA4" i="28"/>
  <c r="AB4" i="28"/>
  <c r="D5" i="28"/>
  <c r="D6" i="28" s="1"/>
  <c r="D7" i="28" s="1"/>
  <c r="E5" i="28"/>
  <c r="F5" i="28"/>
  <c r="G5" i="28"/>
  <c r="H5" i="28"/>
  <c r="H6" i="28" s="1"/>
  <c r="H7" i="28" s="1"/>
  <c r="I5" i="28"/>
  <c r="J5" i="28"/>
  <c r="J6" i="28" s="1"/>
  <c r="K5" i="28"/>
  <c r="L5" i="28"/>
  <c r="L6" i="28" s="1"/>
  <c r="L7" i="28" s="1"/>
  <c r="M5" i="28"/>
  <c r="N5" i="28"/>
  <c r="O5" i="28"/>
  <c r="P5" i="28"/>
  <c r="P6" i="28" s="1"/>
  <c r="P7" i="28" s="1"/>
  <c r="Q5" i="28"/>
  <c r="R5" i="28"/>
  <c r="R6" i="28" s="1"/>
  <c r="R7" i="28" s="1"/>
  <c r="S5" i="28"/>
  <c r="T5" i="28"/>
  <c r="T6" i="28" s="1"/>
  <c r="T7" i="28" s="1"/>
  <c r="U5" i="28"/>
  <c r="V5" i="28"/>
  <c r="W5" i="28"/>
  <c r="X5" i="28"/>
  <c r="X6" i="28" s="1"/>
  <c r="X7" i="28" s="1"/>
  <c r="Y5" i="28"/>
  <c r="Z5" i="28"/>
  <c r="Z6" i="28" s="1"/>
  <c r="Z7" i="28" s="1"/>
  <c r="AA5" i="28"/>
  <c r="AB5" i="28"/>
  <c r="AB6" i="28" s="1"/>
  <c r="AB7" i="28" s="1"/>
  <c r="G6" i="28"/>
  <c r="G7" i="28" s="1"/>
  <c r="O6" i="28"/>
  <c r="O7" i="28" s="1"/>
  <c r="S6" i="28"/>
  <c r="S7" i="28" s="1"/>
  <c r="W6" i="28"/>
  <c r="W7" i="28" s="1"/>
  <c r="J7" i="28"/>
  <c r="C2" i="27"/>
  <c r="C3" i="27"/>
  <c r="C4" i="27"/>
  <c r="C16" i="27"/>
  <c r="C17" i="27"/>
  <c r="C19" i="27"/>
  <c r="C20" i="27"/>
  <c r="C22" i="27"/>
  <c r="AE38" i="27" s="1"/>
  <c r="D30" i="27"/>
  <c r="D31" i="27"/>
  <c r="H33" i="27"/>
  <c r="D34" i="27"/>
  <c r="D35" i="27"/>
  <c r="D36" i="27"/>
  <c r="J46" i="27" s="1"/>
  <c r="Y37" i="27"/>
  <c r="Z37" i="27"/>
  <c r="AA37" i="27"/>
  <c r="AB37" i="27"/>
  <c r="AC37" i="27"/>
  <c r="AD37" i="27"/>
  <c r="AE37" i="27"/>
  <c r="AF37" i="27"/>
  <c r="AC38" i="27"/>
  <c r="I46" i="27"/>
  <c r="M46" i="27"/>
  <c r="O46" i="27"/>
  <c r="Q46" i="27"/>
  <c r="U46" i="27"/>
  <c r="W46" i="27"/>
  <c r="Y46" i="27"/>
  <c r="AC46" i="27"/>
  <c r="AE46" i="27"/>
  <c r="H47" i="27"/>
  <c r="I47" i="27" s="1"/>
  <c r="J47" i="27" s="1"/>
  <c r="K47" i="27" s="1"/>
  <c r="L47" i="27" s="1"/>
  <c r="M47" i="27" s="1"/>
  <c r="N47" i="27" s="1"/>
  <c r="O47" i="27" s="1"/>
  <c r="P47" i="27" s="1"/>
  <c r="Q47" i="27" s="1"/>
  <c r="R47" i="27" s="1"/>
  <c r="S47" i="27" s="1"/>
  <c r="T47" i="27" s="1"/>
  <c r="U47" i="27" s="1"/>
  <c r="V47" i="27" s="1"/>
  <c r="W47" i="27" s="1"/>
  <c r="X47" i="27" s="1"/>
  <c r="Y47" i="27" s="1"/>
  <c r="Z47" i="27" s="1"/>
  <c r="AA47" i="27" s="1"/>
  <c r="AB47" i="27" s="1"/>
  <c r="AC47" i="27" s="1"/>
  <c r="AD47" i="27" s="1"/>
  <c r="AE47" i="27" s="1"/>
  <c r="AF47" i="27" s="1"/>
  <c r="C7" i="26"/>
  <c r="C23" i="26"/>
  <c r="H16" i="26" s="1"/>
  <c r="D33" i="26"/>
  <c r="D33" i="27" s="1"/>
  <c r="H37" i="26"/>
  <c r="Y41" i="26"/>
  <c r="Z41" i="26"/>
  <c r="AA41" i="26"/>
  <c r="AA42" i="26" s="1"/>
  <c r="AB41" i="26"/>
  <c r="AB42" i="26" s="1"/>
  <c r="AC41" i="26"/>
  <c r="AD41" i="26"/>
  <c r="AD42" i="26" s="1"/>
  <c r="AE41" i="26"/>
  <c r="AF41" i="26"/>
  <c r="Y42" i="26"/>
  <c r="Z42" i="26"/>
  <c r="AC42" i="26"/>
  <c r="AE42" i="26"/>
  <c r="AF42" i="26"/>
  <c r="H49" i="26"/>
  <c r="I49" i="26"/>
  <c r="J49" i="26" s="1"/>
  <c r="K49" i="26" s="1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H51" i="26"/>
  <c r="I51" i="26" s="1"/>
  <c r="C4" i="25"/>
  <c r="C6" i="26" s="1"/>
  <c r="C5" i="25"/>
  <c r="C6" i="25"/>
  <c r="C8" i="26" s="1"/>
  <c r="H7" i="25"/>
  <c r="L4" i="25" s="1"/>
  <c r="J8" i="25"/>
  <c r="I45" i="27" l="1"/>
  <c r="J45" i="27" s="1"/>
  <c r="K45" i="27" s="1"/>
  <c r="H45" i="27"/>
  <c r="J21" i="26"/>
  <c r="N21" i="26"/>
  <c r="R21" i="26"/>
  <c r="V21" i="26"/>
  <c r="Z21" i="26"/>
  <c r="AD21" i="26"/>
  <c r="AE21" i="26"/>
  <c r="H21" i="26"/>
  <c r="L21" i="26"/>
  <c r="P21" i="26"/>
  <c r="T21" i="26"/>
  <c r="X21" i="26"/>
  <c r="AB21" i="26"/>
  <c r="AF21" i="26"/>
  <c r="K21" i="26"/>
  <c r="S21" i="26"/>
  <c r="AA21" i="26"/>
  <c r="I21" i="26"/>
  <c r="I30" i="26" s="1"/>
  <c r="M21" i="26"/>
  <c r="Q21" i="26"/>
  <c r="U21" i="26"/>
  <c r="Y21" i="26"/>
  <c r="AC21" i="26"/>
  <c r="O21" i="26"/>
  <c r="W21" i="26"/>
  <c r="H30" i="26"/>
  <c r="I16" i="26"/>
  <c r="I24" i="26" s="1"/>
  <c r="H24" i="26"/>
  <c r="N19" i="26"/>
  <c r="R19" i="26"/>
  <c r="AB19" i="26"/>
  <c r="AC19" i="26"/>
  <c r="L19" i="26"/>
  <c r="U19" i="26"/>
  <c r="M19" i="26"/>
  <c r="Z19" i="26"/>
  <c r="J19" i="26"/>
  <c r="T19" i="26"/>
  <c r="H52" i="26"/>
  <c r="AA6" i="28"/>
  <c r="AA7" i="28" s="1"/>
  <c r="K6" i="28"/>
  <c r="K7" i="28" s="1"/>
  <c r="U6" i="28"/>
  <c r="U7" i="28" s="1"/>
  <c r="M6" i="28"/>
  <c r="M7" i="28" s="1"/>
  <c r="E6" i="28"/>
  <c r="E7" i="28" s="1"/>
  <c r="V6" i="28"/>
  <c r="V7" i="28" s="1"/>
  <c r="N6" i="28"/>
  <c r="N7" i="28" s="1"/>
  <c r="F6" i="28"/>
  <c r="F7" i="28" s="1"/>
  <c r="I48" i="27"/>
  <c r="L45" i="27"/>
  <c r="AF46" i="27"/>
  <c r="X46" i="27"/>
  <c r="P46" i="27"/>
  <c r="H46" i="27"/>
  <c r="H48" i="27" s="1"/>
  <c r="AD38" i="27"/>
  <c r="AD46" i="27"/>
  <c r="V46" i="27"/>
  <c r="N46" i="27"/>
  <c r="AB38" i="27"/>
  <c r="C23" i="27"/>
  <c r="H16" i="27" s="1"/>
  <c r="AA38" i="27"/>
  <c r="J48" i="27"/>
  <c r="AB46" i="27"/>
  <c r="T46" i="27"/>
  <c r="L46" i="27"/>
  <c r="Z38" i="27"/>
  <c r="AA46" i="27"/>
  <c r="S46" i="27"/>
  <c r="K46" i="27"/>
  <c r="K48" i="27" s="1"/>
  <c r="Y38" i="27"/>
  <c r="Z46" i="27"/>
  <c r="R46" i="27"/>
  <c r="AF38" i="27"/>
  <c r="I33" i="27"/>
  <c r="J16" i="26"/>
  <c r="J30" i="26" s="1"/>
  <c r="K16" i="26"/>
  <c r="L16" i="26"/>
  <c r="N16" i="26" s="1"/>
  <c r="M16" i="26"/>
  <c r="O16" i="26"/>
  <c r="O30" i="26" s="1"/>
  <c r="M28" i="26"/>
  <c r="H20" i="26"/>
  <c r="H29" i="26" s="1"/>
  <c r="J51" i="26"/>
  <c r="I52" i="26"/>
  <c r="I20" i="26" s="1"/>
  <c r="I29" i="26" s="1"/>
  <c r="L49" i="26"/>
  <c r="I37" i="26"/>
  <c r="AA19" i="26"/>
  <c r="S19" i="26"/>
  <c r="K19" i="26"/>
  <c r="K28" i="26" s="1"/>
  <c r="C9" i="26"/>
  <c r="Y19" i="26"/>
  <c r="Q19" i="26"/>
  <c r="I19" i="26"/>
  <c r="I28" i="26" s="1"/>
  <c r="AF19" i="26"/>
  <c r="X19" i="26"/>
  <c r="P19" i="26"/>
  <c r="H19" i="26"/>
  <c r="H28" i="26" s="1"/>
  <c r="AE19" i="26"/>
  <c r="W19" i="26"/>
  <c r="O19" i="26"/>
  <c r="O28" i="26" s="1"/>
  <c r="AD19" i="26"/>
  <c r="V19" i="26"/>
  <c r="C7" i="25"/>
  <c r="D4" i="25" s="1"/>
  <c r="L5" i="25"/>
  <c r="L7" i="25" s="1"/>
  <c r="C9" i="27" s="1"/>
  <c r="C18" i="27" s="1"/>
  <c r="H17" i="27" l="1"/>
  <c r="J19" i="27"/>
  <c r="H19" i="27"/>
  <c r="H26" i="27" s="1"/>
  <c r="G32" i="27"/>
  <c r="W35" i="27" s="1"/>
  <c r="W37" i="27" s="1"/>
  <c r="W38" i="27" s="1"/>
  <c r="C21" i="27"/>
  <c r="D6" i="25"/>
  <c r="I19" i="27"/>
  <c r="K19" i="27"/>
  <c r="H22" i="27"/>
  <c r="I16" i="27"/>
  <c r="I26" i="27"/>
  <c r="O35" i="27"/>
  <c r="H36" i="27"/>
  <c r="T35" i="27"/>
  <c r="T37" i="27" s="1"/>
  <c r="T38" i="27" s="1"/>
  <c r="V35" i="27"/>
  <c r="V37" i="27" s="1"/>
  <c r="V38" i="27" s="1"/>
  <c r="N35" i="27"/>
  <c r="J33" i="27"/>
  <c r="O20" i="27"/>
  <c r="W20" i="27"/>
  <c r="AE20" i="27"/>
  <c r="J20" i="27"/>
  <c r="R20" i="27"/>
  <c r="Z20" i="27"/>
  <c r="K20" i="27"/>
  <c r="S20" i="27"/>
  <c r="AA20" i="27"/>
  <c r="V20" i="27"/>
  <c r="L20" i="27"/>
  <c r="X20" i="27"/>
  <c r="M20" i="27"/>
  <c r="Y20" i="27"/>
  <c r="N20" i="27"/>
  <c r="AB20" i="27"/>
  <c r="P20" i="27"/>
  <c r="AC20" i="27"/>
  <c r="Q20" i="27"/>
  <c r="AD20" i="27"/>
  <c r="H20" i="27"/>
  <c r="U20" i="27"/>
  <c r="I20" i="27"/>
  <c r="I27" i="27" s="1"/>
  <c r="T20" i="27"/>
  <c r="AF20" i="27"/>
  <c r="D13" i="29"/>
  <c r="I17" i="27"/>
  <c r="H18" i="27"/>
  <c r="M45" i="27"/>
  <c r="L48" i="27"/>
  <c r="L19" i="27" s="1"/>
  <c r="N24" i="26"/>
  <c r="N30" i="26"/>
  <c r="N28" i="26"/>
  <c r="P16" i="26"/>
  <c r="M49" i="26"/>
  <c r="O24" i="26"/>
  <c r="Q16" i="26"/>
  <c r="Q28" i="26" s="1"/>
  <c r="C18" i="26"/>
  <c r="G36" i="26"/>
  <c r="C21" i="26"/>
  <c r="H17" i="26"/>
  <c r="D5" i="29" s="1"/>
  <c r="D6" i="29" s="1"/>
  <c r="J37" i="26"/>
  <c r="K37" i="26" s="1"/>
  <c r="P28" i="26"/>
  <c r="L24" i="26"/>
  <c r="L30" i="26"/>
  <c r="L28" i="26"/>
  <c r="J24" i="26"/>
  <c r="J28" i="26"/>
  <c r="K51" i="26"/>
  <c r="J52" i="26"/>
  <c r="J20" i="26" s="1"/>
  <c r="J29" i="26" s="1"/>
  <c r="M24" i="26"/>
  <c r="M30" i="26"/>
  <c r="K24" i="26"/>
  <c r="K30" i="26"/>
  <c r="D5" i="25"/>
  <c r="G7" i="25" s="1"/>
  <c r="M35" i="27" l="1"/>
  <c r="I35" i="27"/>
  <c r="I36" i="27"/>
  <c r="R35" i="27"/>
  <c r="R37" i="27" s="1"/>
  <c r="R38" i="27" s="1"/>
  <c r="P35" i="27"/>
  <c r="X35" i="27"/>
  <c r="X37" i="27" s="1"/>
  <c r="X38" i="27" s="1"/>
  <c r="U35" i="27"/>
  <c r="U37" i="27" s="1"/>
  <c r="U38" i="27" s="1"/>
  <c r="S35" i="27"/>
  <c r="S37" i="27" s="1"/>
  <c r="S38" i="27" s="1"/>
  <c r="J35" i="27"/>
  <c r="Q35" i="27"/>
  <c r="L35" i="27"/>
  <c r="H35" i="27"/>
  <c r="K35" i="27"/>
  <c r="H25" i="27"/>
  <c r="E13" i="29"/>
  <c r="J17" i="27"/>
  <c r="I18" i="27"/>
  <c r="I25" i="27" s="1"/>
  <c r="J36" i="27"/>
  <c r="J37" i="27" s="1"/>
  <c r="J38" i="27" s="1"/>
  <c r="J39" i="27" s="1"/>
  <c r="J40" i="27" s="1"/>
  <c r="H37" i="27"/>
  <c r="H38" i="27" s="1"/>
  <c r="H39" i="27" s="1"/>
  <c r="J16" i="27"/>
  <c r="K16" i="27"/>
  <c r="M16" i="27" s="1"/>
  <c r="L16" i="27"/>
  <c r="L22" i="27" s="1"/>
  <c r="I22" i="27"/>
  <c r="H27" i="27"/>
  <c r="AG20" i="27"/>
  <c r="L26" i="27"/>
  <c r="K33" i="27"/>
  <c r="K36" i="27" s="1"/>
  <c r="K37" i="27" s="1"/>
  <c r="K38" i="27" s="1"/>
  <c r="D14" i="29"/>
  <c r="N45" i="27"/>
  <c r="M48" i="27"/>
  <c r="M19" i="27" s="1"/>
  <c r="I37" i="27"/>
  <c r="I38" i="27" s="1"/>
  <c r="I39" i="27" s="1"/>
  <c r="I40" i="27" s="1"/>
  <c r="I17" i="26"/>
  <c r="E5" i="29" s="1"/>
  <c r="E6" i="29" s="1"/>
  <c r="H18" i="26"/>
  <c r="J22" i="26"/>
  <c r="J31" i="26" s="1"/>
  <c r="R22" i="26"/>
  <c r="R31" i="26" s="1"/>
  <c r="Z22" i="26"/>
  <c r="AF22" i="26"/>
  <c r="K22" i="26"/>
  <c r="K31" i="26" s="1"/>
  <c r="S22" i="26"/>
  <c r="AA22" i="26"/>
  <c r="L22" i="26"/>
  <c r="L31" i="26" s="1"/>
  <c r="T22" i="26"/>
  <c r="AB22" i="26"/>
  <c r="M22" i="26"/>
  <c r="M31" i="26" s="1"/>
  <c r="U22" i="26"/>
  <c r="AC22" i="26"/>
  <c r="X22" i="26"/>
  <c r="N22" i="26"/>
  <c r="N31" i="26" s="1"/>
  <c r="V22" i="26"/>
  <c r="AD22" i="26"/>
  <c r="H22" i="26"/>
  <c r="O22" i="26"/>
  <c r="O31" i="26" s="1"/>
  <c r="W22" i="26"/>
  <c r="AE22" i="26"/>
  <c r="P22" i="26"/>
  <c r="P31" i="26" s="1"/>
  <c r="I22" i="26"/>
  <c r="I31" i="26" s="1"/>
  <c r="Y22" i="26"/>
  <c r="Q22" i="26"/>
  <c r="Q31" i="26" s="1"/>
  <c r="J39" i="26"/>
  <c r="R39" i="26"/>
  <c r="R41" i="26" s="1"/>
  <c r="R42" i="26" s="1"/>
  <c r="I40" i="26"/>
  <c r="H39" i="26"/>
  <c r="K39" i="26"/>
  <c r="S39" i="26"/>
  <c r="S41" i="26" s="1"/>
  <c r="S42" i="26" s="1"/>
  <c r="J40" i="26"/>
  <c r="L39" i="26"/>
  <c r="T39" i="26"/>
  <c r="T41" i="26" s="1"/>
  <c r="T42" i="26" s="1"/>
  <c r="K40" i="26"/>
  <c r="M39" i="26"/>
  <c r="U39" i="26"/>
  <c r="U41" i="26" s="1"/>
  <c r="U42" i="26" s="1"/>
  <c r="N39" i="26"/>
  <c r="V39" i="26"/>
  <c r="V41" i="26" s="1"/>
  <c r="V42" i="26" s="1"/>
  <c r="P39" i="26"/>
  <c r="O39" i="26"/>
  <c r="W39" i="26"/>
  <c r="W41" i="26" s="1"/>
  <c r="W42" i="26" s="1"/>
  <c r="X39" i="26"/>
  <c r="X41" i="26" s="1"/>
  <c r="X42" i="26" s="1"/>
  <c r="H40" i="26"/>
  <c r="H41" i="26" s="1"/>
  <c r="H42" i="26" s="1"/>
  <c r="H43" i="26" s="1"/>
  <c r="I39" i="26"/>
  <c r="Q39" i="26"/>
  <c r="P30" i="26"/>
  <c r="P24" i="26"/>
  <c r="R16" i="26"/>
  <c r="L51" i="26"/>
  <c r="K52" i="26"/>
  <c r="K20" i="26" s="1"/>
  <c r="K29" i="26" s="1"/>
  <c r="Q24" i="26"/>
  <c r="S16" i="26"/>
  <c r="Q30" i="26"/>
  <c r="L37" i="26"/>
  <c r="N49" i="26"/>
  <c r="L27" i="27" l="1"/>
  <c r="J41" i="26"/>
  <c r="J42" i="26" s="1"/>
  <c r="J43" i="26" s="1"/>
  <c r="J44" i="26" s="1"/>
  <c r="I41" i="26"/>
  <c r="I42" i="26" s="1"/>
  <c r="I43" i="26" s="1"/>
  <c r="I44" i="26" s="1"/>
  <c r="S43" i="26"/>
  <c r="S44" i="26" s="1"/>
  <c r="R43" i="26"/>
  <c r="R44" i="26" s="1"/>
  <c r="M22" i="27"/>
  <c r="O16" i="27"/>
  <c r="M27" i="27"/>
  <c r="K22" i="27"/>
  <c r="K26" i="27"/>
  <c r="K39" i="27"/>
  <c r="K40" i="27" s="1"/>
  <c r="J22" i="27"/>
  <c r="J26" i="27"/>
  <c r="J27" i="27"/>
  <c r="L33" i="27"/>
  <c r="M26" i="27"/>
  <c r="N16" i="27"/>
  <c r="H40" i="27"/>
  <c r="F13" i="29"/>
  <c r="K17" i="27"/>
  <c r="J18" i="27"/>
  <c r="E14" i="29"/>
  <c r="K27" i="27"/>
  <c r="O45" i="27"/>
  <c r="N48" i="27"/>
  <c r="N19" i="27" s="1"/>
  <c r="M51" i="26"/>
  <c r="L52" i="26"/>
  <c r="L20" i="26" s="1"/>
  <c r="L29" i="26" s="1"/>
  <c r="R24" i="26"/>
  <c r="R28" i="26"/>
  <c r="R30" i="26"/>
  <c r="T16" i="26"/>
  <c r="L40" i="26"/>
  <c r="L41" i="26" s="1"/>
  <c r="L42" i="26" s="1"/>
  <c r="L43" i="26" s="1"/>
  <c r="L44" i="26" s="1"/>
  <c r="H31" i="26"/>
  <c r="AG22" i="26"/>
  <c r="H27" i="26"/>
  <c r="J17" i="26"/>
  <c r="F5" i="29" s="1"/>
  <c r="F6" i="29" s="1"/>
  <c r="I18" i="26"/>
  <c r="I27" i="26" s="1"/>
  <c r="K41" i="26"/>
  <c r="K42" i="26" s="1"/>
  <c r="K43" i="26" s="1"/>
  <c r="K44" i="26" s="1"/>
  <c r="S31" i="26"/>
  <c r="O49" i="26"/>
  <c r="S24" i="26"/>
  <c r="S30" i="26"/>
  <c r="U16" i="26"/>
  <c r="U31" i="26" s="1"/>
  <c r="S28" i="26"/>
  <c r="H44" i="26"/>
  <c r="M37" i="26"/>
  <c r="U43" i="26" l="1"/>
  <c r="U44" i="26" s="1"/>
  <c r="N22" i="27"/>
  <c r="N27" i="27"/>
  <c r="P16" i="27"/>
  <c r="L36" i="27"/>
  <c r="L37" i="27" s="1"/>
  <c r="L38" i="27" s="1"/>
  <c r="L39" i="27" s="1"/>
  <c r="M33" i="27"/>
  <c r="O22" i="27"/>
  <c r="O27" i="27"/>
  <c r="Q16" i="27"/>
  <c r="N26" i="27"/>
  <c r="J25" i="27"/>
  <c r="P45" i="27"/>
  <c r="O48" i="27"/>
  <c r="O19" i="27" s="1"/>
  <c r="O26" i="27" s="1"/>
  <c r="G13" i="29"/>
  <c r="K18" i="27"/>
  <c r="K25" i="27" s="1"/>
  <c r="L17" i="27"/>
  <c r="F14" i="29"/>
  <c r="T24" i="26"/>
  <c r="T32" i="26"/>
  <c r="T30" i="26"/>
  <c r="T28" i="26"/>
  <c r="V16" i="26"/>
  <c r="M40" i="26"/>
  <c r="M41" i="26" s="1"/>
  <c r="M42" i="26" s="1"/>
  <c r="M43" i="26" s="1"/>
  <c r="K17" i="26"/>
  <c r="G5" i="29" s="1"/>
  <c r="G6" i="29" s="1"/>
  <c r="J18" i="26"/>
  <c r="J27" i="26" s="1"/>
  <c r="P49" i="26"/>
  <c r="T43" i="26"/>
  <c r="T44" i="26" s="1"/>
  <c r="U30" i="26"/>
  <c r="U24" i="26"/>
  <c r="U32" i="26"/>
  <c r="U28" i="26"/>
  <c r="W16" i="26"/>
  <c r="T31" i="26"/>
  <c r="N51" i="26"/>
  <c r="M52" i="26"/>
  <c r="M20" i="26" s="1"/>
  <c r="M29" i="26" s="1"/>
  <c r="N37" i="26"/>
  <c r="M36" i="27" l="1"/>
  <c r="M37" i="27" s="1"/>
  <c r="M38" i="27" s="1"/>
  <c r="M39" i="27" s="1"/>
  <c r="M40" i="27" s="1"/>
  <c r="N33" i="27"/>
  <c r="L40" i="27"/>
  <c r="P22" i="27"/>
  <c r="P27" i="27"/>
  <c r="R16" i="27"/>
  <c r="M17" i="27"/>
  <c r="H13" i="29"/>
  <c r="L18" i="27"/>
  <c r="Q22" i="27"/>
  <c r="S16" i="27"/>
  <c r="Q27" i="27"/>
  <c r="P48" i="27"/>
  <c r="P19" i="27" s="1"/>
  <c r="P26" i="27" s="1"/>
  <c r="Q45" i="27"/>
  <c r="G14" i="29"/>
  <c r="Q49" i="26"/>
  <c r="M44" i="26"/>
  <c r="N40" i="26"/>
  <c r="N41" i="26" s="1"/>
  <c r="N42" i="26" s="1"/>
  <c r="N43" i="26" s="1"/>
  <c r="N44" i="26" s="1"/>
  <c r="O37" i="26"/>
  <c r="O40" i="26" s="1"/>
  <c r="O41" i="26" s="1"/>
  <c r="O42" i="26" s="1"/>
  <c r="O43" i="26" s="1"/>
  <c r="O44" i="26" s="1"/>
  <c r="V24" i="26"/>
  <c r="V32" i="26"/>
  <c r="V30" i="26"/>
  <c r="X16" i="26"/>
  <c r="V28" i="26"/>
  <c r="V31" i="26"/>
  <c r="V43" i="26"/>
  <c r="V44" i="26" s="1"/>
  <c r="L17" i="26"/>
  <c r="H5" i="29" s="1"/>
  <c r="H6" i="29" s="1"/>
  <c r="K18" i="26"/>
  <c r="W32" i="26"/>
  <c r="W24" i="26"/>
  <c r="Y16" i="26"/>
  <c r="W30" i="26"/>
  <c r="W28" i="26"/>
  <c r="W31" i="26"/>
  <c r="W43" i="26"/>
  <c r="W44" i="26" s="1"/>
  <c r="O51" i="26"/>
  <c r="N52" i="26"/>
  <c r="N20" i="26" s="1"/>
  <c r="N29" i="26" s="1"/>
  <c r="S22" i="27" l="1"/>
  <c r="U16" i="27"/>
  <c r="S27" i="27"/>
  <c r="S39" i="27"/>
  <c r="S40" i="27" s="1"/>
  <c r="H14" i="29"/>
  <c r="N36" i="27"/>
  <c r="N37" i="27" s="1"/>
  <c r="N38" i="27" s="1"/>
  <c r="N39" i="27" s="1"/>
  <c r="O33" i="27"/>
  <c r="L25" i="27"/>
  <c r="I13" i="29"/>
  <c r="N17" i="27"/>
  <c r="M18" i="27"/>
  <c r="M25" i="27" s="1"/>
  <c r="R45" i="27"/>
  <c r="Q48" i="27"/>
  <c r="Q19" i="27" s="1"/>
  <c r="Q26" i="27" s="1"/>
  <c r="R22" i="27"/>
  <c r="R39" i="27"/>
  <c r="R40" i="27" s="1"/>
  <c r="T16" i="27"/>
  <c r="R27" i="27"/>
  <c r="P37" i="26"/>
  <c r="Y32" i="26"/>
  <c r="Y43" i="26"/>
  <c r="Y44" i="26" s="1"/>
  <c r="Y24" i="26"/>
  <c r="AA16" i="26"/>
  <c r="Y30" i="26"/>
  <c r="Y28" i="26"/>
  <c r="Y31" i="26"/>
  <c r="R49" i="26"/>
  <c r="X30" i="26"/>
  <c r="X24" i="26"/>
  <c r="X32" i="26"/>
  <c r="Z16" i="26"/>
  <c r="X28" i="26"/>
  <c r="X31" i="26"/>
  <c r="X43" i="26"/>
  <c r="X44" i="26" s="1"/>
  <c r="P51" i="26"/>
  <c r="O52" i="26"/>
  <c r="O20" i="26" s="1"/>
  <c r="O29" i="26" s="1"/>
  <c r="K27" i="26"/>
  <c r="M17" i="26"/>
  <c r="I5" i="29" s="1"/>
  <c r="I6" i="29" s="1"/>
  <c r="L18" i="26"/>
  <c r="L27" i="26" s="1"/>
  <c r="N40" i="27" l="1"/>
  <c r="O36" i="27"/>
  <c r="O37" i="27" s="1"/>
  <c r="O38" i="27" s="1"/>
  <c r="O39" i="27" s="1"/>
  <c r="O40" i="27" s="1"/>
  <c r="P33" i="27"/>
  <c r="N18" i="27"/>
  <c r="N25" i="27" s="1"/>
  <c r="O17" i="27"/>
  <c r="J13" i="29"/>
  <c r="U28" i="27"/>
  <c r="U22" i="27"/>
  <c r="U39" i="27"/>
  <c r="U40" i="27" s="1"/>
  <c r="U27" i="27"/>
  <c r="W16" i="27"/>
  <c r="S45" i="27"/>
  <c r="R48" i="27"/>
  <c r="R19" i="27" s="1"/>
  <c r="R26" i="27" s="1"/>
  <c r="I14" i="29"/>
  <c r="T28" i="27"/>
  <c r="T22" i="27"/>
  <c r="T39" i="27"/>
  <c r="T40" i="27" s="1"/>
  <c r="T27" i="27"/>
  <c r="V16" i="27"/>
  <c r="M18" i="26"/>
  <c r="N17" i="26"/>
  <c r="J5" i="29" s="1"/>
  <c r="J6" i="29" s="1"/>
  <c r="AA24" i="26"/>
  <c r="AA32" i="26"/>
  <c r="AA30" i="26"/>
  <c r="AA43" i="26"/>
  <c r="AA44" i="26" s="1"/>
  <c r="AC16" i="26"/>
  <c r="AA28" i="26"/>
  <c r="AA31" i="26"/>
  <c r="Z24" i="26"/>
  <c r="Z32" i="26"/>
  <c r="Z30" i="26"/>
  <c r="Z43" i="26"/>
  <c r="Z44" i="26" s="1"/>
  <c r="Z28" i="26"/>
  <c r="AB16" i="26"/>
  <c r="Z31" i="26"/>
  <c r="P40" i="26"/>
  <c r="P41" i="26" s="1"/>
  <c r="P42" i="26" s="1"/>
  <c r="P43" i="26" s="1"/>
  <c r="Q37" i="26"/>
  <c r="Q40" i="26" s="1"/>
  <c r="Q41" i="26" s="1"/>
  <c r="Q42" i="26" s="1"/>
  <c r="Q43" i="26" s="1"/>
  <c r="Q44" i="26" s="1"/>
  <c r="Q51" i="26"/>
  <c r="P52" i="26"/>
  <c r="P20" i="26" s="1"/>
  <c r="P29" i="26" s="1"/>
  <c r="S49" i="26"/>
  <c r="J14" i="29" l="1"/>
  <c r="K13" i="29"/>
  <c r="P17" i="27"/>
  <c r="O18" i="27"/>
  <c r="O25" i="27" s="1"/>
  <c r="P36" i="27"/>
  <c r="P37" i="27" s="1"/>
  <c r="P38" i="27" s="1"/>
  <c r="P39" i="27" s="1"/>
  <c r="P40" i="27" s="1"/>
  <c r="Q33" i="27"/>
  <c r="Q36" i="27" s="1"/>
  <c r="Q37" i="27" s="1"/>
  <c r="Q38" i="27" s="1"/>
  <c r="Q39" i="27" s="1"/>
  <c r="Q40" i="27" s="1"/>
  <c r="S48" i="27"/>
  <c r="S19" i="27" s="1"/>
  <c r="S26" i="27" s="1"/>
  <c r="T45" i="27"/>
  <c r="V28" i="27"/>
  <c r="V22" i="27"/>
  <c r="X16" i="27"/>
  <c r="V39" i="27"/>
  <c r="V40" i="27" s="1"/>
  <c r="V27" i="27"/>
  <c r="W22" i="27"/>
  <c r="W28" i="27"/>
  <c r="W39" i="27"/>
  <c r="W40" i="27" s="1"/>
  <c r="Y16" i="27"/>
  <c r="W27" i="27"/>
  <c r="M27" i="26"/>
  <c r="AC24" i="26"/>
  <c r="AC32" i="26"/>
  <c r="AC30" i="26"/>
  <c r="AE16" i="26"/>
  <c r="AC28" i="26"/>
  <c r="AC43" i="26"/>
  <c r="AC44" i="26" s="1"/>
  <c r="AC31" i="26"/>
  <c r="P44" i="26"/>
  <c r="AB24" i="26"/>
  <c r="AB32" i="26"/>
  <c r="AB30" i="26"/>
  <c r="AB43" i="26"/>
  <c r="AB44" i="26" s="1"/>
  <c r="AB28" i="26"/>
  <c r="AD16" i="26"/>
  <c r="AB31" i="26"/>
  <c r="R51" i="26"/>
  <c r="Q52" i="26"/>
  <c r="Q20" i="26" s="1"/>
  <c r="Q29" i="26" s="1"/>
  <c r="O17" i="26"/>
  <c r="K5" i="29" s="1"/>
  <c r="K6" i="29" s="1"/>
  <c r="N18" i="26"/>
  <c r="N27" i="26" s="1"/>
  <c r="T49" i="26"/>
  <c r="L13" i="29" l="1"/>
  <c r="Q17" i="27"/>
  <c r="P18" i="27"/>
  <c r="P25" i="27" s="1"/>
  <c r="X22" i="27"/>
  <c r="X28" i="27"/>
  <c r="X39" i="27"/>
  <c r="X40" i="27" s="1"/>
  <c r="X27" i="27"/>
  <c r="Z16" i="27"/>
  <c r="K14" i="29"/>
  <c r="Y28" i="27"/>
  <c r="Y22" i="27"/>
  <c r="Y39" i="27"/>
  <c r="Y40" i="27" s="1"/>
  <c r="AA16" i="27"/>
  <c r="Y27" i="27"/>
  <c r="U45" i="27"/>
  <c r="T48" i="27"/>
  <c r="T19" i="27" s="1"/>
  <c r="T26" i="27" s="1"/>
  <c r="O18" i="26"/>
  <c r="O27" i="26" s="1"/>
  <c r="P17" i="26"/>
  <c r="L5" i="29" s="1"/>
  <c r="L6" i="29" s="1"/>
  <c r="S51" i="26"/>
  <c r="R52" i="26"/>
  <c r="R20" i="26" s="1"/>
  <c r="R29" i="26" s="1"/>
  <c r="U49" i="26"/>
  <c r="AE43" i="26"/>
  <c r="AE44" i="26" s="1"/>
  <c r="AE32" i="26"/>
  <c r="AE24" i="26"/>
  <c r="AE30" i="26"/>
  <c r="AE28" i="26"/>
  <c r="AE31" i="26"/>
  <c r="AD24" i="26"/>
  <c r="AD32" i="26"/>
  <c r="AD30" i="26"/>
  <c r="AD43" i="26"/>
  <c r="AD44" i="26" s="1"/>
  <c r="AF16" i="26"/>
  <c r="AD28" i="26"/>
  <c r="AD31" i="26"/>
  <c r="M13" i="29" l="1"/>
  <c r="R17" i="27"/>
  <c r="Q18" i="27"/>
  <c r="Q25" i="27" s="1"/>
  <c r="Z28" i="27"/>
  <c r="Z22" i="27"/>
  <c r="Z39" i="27"/>
  <c r="Z40" i="27" s="1"/>
  <c r="AB16" i="27"/>
  <c r="Z27" i="27"/>
  <c r="AA28" i="27"/>
  <c r="AA22" i="27"/>
  <c r="AA39" i="27"/>
  <c r="AA40" i="27" s="1"/>
  <c r="AC16" i="27"/>
  <c r="AA27" i="27"/>
  <c r="V45" i="27"/>
  <c r="U48" i="27"/>
  <c r="U19" i="27" s="1"/>
  <c r="U26" i="27" s="1"/>
  <c r="L14" i="29"/>
  <c r="V49" i="26"/>
  <c r="AF30" i="26"/>
  <c r="AG30" i="26" s="1"/>
  <c r="AF24" i="26"/>
  <c r="AG24" i="26" s="1"/>
  <c r="AF43" i="26"/>
  <c r="AF32" i="26"/>
  <c r="AF28" i="26"/>
  <c r="AG28" i="26" s="1"/>
  <c r="AH28" i="26" s="1"/>
  <c r="G5" i="26" s="1"/>
  <c r="AF31" i="26"/>
  <c r="AG31" i="26" s="1"/>
  <c r="AH31" i="26" s="1"/>
  <c r="G8" i="26" s="1"/>
  <c r="T51" i="26"/>
  <c r="S52" i="26"/>
  <c r="S20" i="26" s="1"/>
  <c r="S29" i="26" s="1"/>
  <c r="Q17" i="26"/>
  <c r="M5" i="29" s="1"/>
  <c r="M6" i="29" s="1"/>
  <c r="P18" i="26"/>
  <c r="P27" i="26" s="1"/>
  <c r="AC28" i="27" l="1"/>
  <c r="AC22" i="27"/>
  <c r="AC39" i="27"/>
  <c r="AC40" i="27" s="1"/>
  <c r="AE16" i="27"/>
  <c r="AC27" i="27"/>
  <c r="AB28" i="27"/>
  <c r="AB22" i="27"/>
  <c r="AB39" i="27"/>
  <c r="AB40" i="27" s="1"/>
  <c r="AB27" i="27"/>
  <c r="AD16" i="27"/>
  <c r="S17" i="27"/>
  <c r="R18" i="27"/>
  <c r="R25" i="27" s="1"/>
  <c r="N13" i="29"/>
  <c r="W45" i="27"/>
  <c r="V48" i="27"/>
  <c r="V19" i="27" s="1"/>
  <c r="V26" i="27" s="1"/>
  <c r="M14" i="29"/>
  <c r="AF44" i="26"/>
  <c r="AG43" i="26"/>
  <c r="AH43" i="26" s="1"/>
  <c r="G11" i="26" s="1"/>
  <c r="R17" i="26"/>
  <c r="N5" i="29" s="1"/>
  <c r="N6" i="29" s="1"/>
  <c r="Q18" i="26"/>
  <c r="Q27" i="26" s="1"/>
  <c r="AH30" i="26"/>
  <c r="G7" i="26" s="1"/>
  <c r="U51" i="26"/>
  <c r="T52" i="26"/>
  <c r="T20" i="26" s="1"/>
  <c r="T29" i="26" s="1"/>
  <c r="W49" i="26"/>
  <c r="X45" i="27" l="1"/>
  <c r="W48" i="27"/>
  <c r="W19" i="27" s="1"/>
  <c r="W26" i="27" s="1"/>
  <c r="O13" i="29"/>
  <c r="S18" i="27"/>
  <c r="S25" i="27" s="1"/>
  <c r="T17" i="27"/>
  <c r="N14" i="29"/>
  <c r="AE28" i="27"/>
  <c r="AE22" i="27"/>
  <c r="AE39" i="27"/>
  <c r="AE40" i="27" s="1"/>
  <c r="AE27" i="27"/>
  <c r="AD28" i="27"/>
  <c r="AD22" i="27"/>
  <c r="AD39" i="27"/>
  <c r="AD40" i="27" s="1"/>
  <c r="AF16" i="27"/>
  <c r="AD27" i="27"/>
  <c r="V51" i="26"/>
  <c r="U52" i="26"/>
  <c r="U20" i="26" s="1"/>
  <c r="U29" i="26" s="1"/>
  <c r="S17" i="26"/>
  <c r="O5" i="29" s="1"/>
  <c r="O6" i="29" s="1"/>
  <c r="R18" i="26"/>
  <c r="R27" i="26" s="1"/>
  <c r="X49" i="26"/>
  <c r="AF22" i="27" l="1"/>
  <c r="AG22" i="27" s="1"/>
  <c r="AF28" i="27"/>
  <c r="AF39" i="27"/>
  <c r="AF27" i="27"/>
  <c r="AG27" i="27" s="1"/>
  <c r="O14" i="29"/>
  <c r="U17" i="27"/>
  <c r="T18" i="27"/>
  <c r="T25" i="27" s="1"/>
  <c r="P13" i="29"/>
  <c r="X48" i="27"/>
  <c r="X19" i="27" s="1"/>
  <c r="X26" i="27" s="1"/>
  <c r="Y45" i="27"/>
  <c r="T17" i="26"/>
  <c r="P5" i="29" s="1"/>
  <c r="P6" i="29" s="1"/>
  <c r="S18" i="26"/>
  <c r="S27" i="26" s="1"/>
  <c r="Y49" i="26"/>
  <c r="W51" i="26"/>
  <c r="V52" i="26"/>
  <c r="V20" i="26" s="1"/>
  <c r="V29" i="26" s="1"/>
  <c r="AH27" i="27" l="1"/>
  <c r="G6" i="27" s="1"/>
  <c r="AF40" i="27"/>
  <c r="AG39" i="27"/>
  <c r="AH39" i="27" s="1"/>
  <c r="G9" i="27" s="1"/>
  <c r="Q13" i="29"/>
  <c r="V17" i="27"/>
  <c r="U18" i="27"/>
  <c r="U25" i="27" s="1"/>
  <c r="Z45" i="27"/>
  <c r="Y48" i="27"/>
  <c r="Y19" i="27" s="1"/>
  <c r="Y26" i="27" s="1"/>
  <c r="P14" i="29"/>
  <c r="Z49" i="26"/>
  <c r="X51" i="26"/>
  <c r="W52" i="26"/>
  <c r="W20" i="26" s="1"/>
  <c r="W29" i="26" s="1"/>
  <c r="U17" i="26"/>
  <c r="Q5" i="29" s="1"/>
  <c r="Q6" i="29" s="1"/>
  <c r="T18" i="26"/>
  <c r="T27" i="26" s="1"/>
  <c r="Q14" i="29" l="1"/>
  <c r="AA45" i="27"/>
  <c r="Z48" i="27"/>
  <c r="Z19" i="27" s="1"/>
  <c r="Z26" i="27" s="1"/>
  <c r="V18" i="27"/>
  <c r="V25" i="27" s="1"/>
  <c r="R13" i="29"/>
  <c r="W17" i="27"/>
  <c r="Y51" i="26"/>
  <c r="X52" i="26"/>
  <c r="X20" i="26" s="1"/>
  <c r="X29" i="26" s="1"/>
  <c r="U18" i="26"/>
  <c r="U27" i="26" s="1"/>
  <c r="V17" i="26"/>
  <c r="R5" i="29" s="1"/>
  <c r="R6" i="29" s="1"/>
  <c r="AA49" i="26"/>
  <c r="S13" i="29" l="1"/>
  <c r="X17" i="27"/>
  <c r="W18" i="27"/>
  <c r="W25" i="27" s="1"/>
  <c r="R14" i="29"/>
  <c r="AB45" i="27"/>
  <c r="AA48" i="27"/>
  <c r="AA19" i="27" s="1"/>
  <c r="AA26" i="27" s="1"/>
  <c r="AB49" i="26"/>
  <c r="W17" i="26"/>
  <c r="S5" i="29" s="1"/>
  <c r="S6" i="29" s="1"/>
  <c r="V18" i="26"/>
  <c r="V27" i="26" s="1"/>
  <c r="Z51" i="26"/>
  <c r="Y52" i="26"/>
  <c r="Y20" i="26" s="1"/>
  <c r="Y29" i="26" s="1"/>
  <c r="AC45" i="27" l="1"/>
  <c r="AB48" i="27"/>
  <c r="AB19" i="27" s="1"/>
  <c r="AB26" i="27" s="1"/>
  <c r="T13" i="29"/>
  <c r="Y17" i="27"/>
  <c r="X18" i="27"/>
  <c r="X25" i="27" s="1"/>
  <c r="S14" i="29"/>
  <c r="AA51" i="26"/>
  <c r="Z52" i="26"/>
  <c r="Z20" i="26" s="1"/>
  <c r="Z29" i="26" s="1"/>
  <c r="W18" i="26"/>
  <c r="W27" i="26" s="1"/>
  <c r="X17" i="26"/>
  <c r="T5" i="29" s="1"/>
  <c r="T6" i="29" s="1"/>
  <c r="AC49" i="26"/>
  <c r="T14" i="29" l="1"/>
  <c r="U13" i="29"/>
  <c r="Z17" i="27"/>
  <c r="Y18" i="27"/>
  <c r="Y25" i="27" s="1"/>
  <c r="AD45" i="27"/>
  <c r="AC48" i="27"/>
  <c r="AC19" i="27" s="1"/>
  <c r="AC26" i="27" s="1"/>
  <c r="AD49" i="26"/>
  <c r="Y17" i="26"/>
  <c r="U5" i="29" s="1"/>
  <c r="U6" i="29" s="1"/>
  <c r="X18" i="26"/>
  <c r="X27" i="26" s="1"/>
  <c r="AB51" i="26"/>
  <c r="AA52" i="26"/>
  <c r="AA20" i="26" s="1"/>
  <c r="AA29" i="26" s="1"/>
  <c r="AE45" i="27" l="1"/>
  <c r="AD48" i="27"/>
  <c r="AD19" i="27" s="1"/>
  <c r="AD26" i="27" s="1"/>
  <c r="V13" i="29"/>
  <c r="AA17" i="27"/>
  <c r="Z18" i="27"/>
  <c r="Z25" i="27" s="1"/>
  <c r="U14" i="29"/>
  <c r="Z17" i="26"/>
  <c r="V5" i="29" s="1"/>
  <c r="V6" i="29" s="1"/>
  <c r="Y18" i="26"/>
  <c r="Y27" i="26" s="1"/>
  <c r="AC51" i="26"/>
  <c r="AB52" i="26"/>
  <c r="AB20" i="26" s="1"/>
  <c r="AB29" i="26" s="1"/>
  <c r="AE49" i="26"/>
  <c r="V14" i="29" l="1"/>
  <c r="W13" i="29"/>
  <c r="AA18" i="27"/>
  <c r="AA25" i="27" s="1"/>
  <c r="AB17" i="27"/>
  <c r="AF45" i="27"/>
  <c r="AF48" i="27" s="1"/>
  <c r="AF19" i="27" s="1"/>
  <c r="AF26" i="27" s="1"/>
  <c r="AE48" i="27"/>
  <c r="AE19" i="27" s="1"/>
  <c r="AE26" i="27" s="1"/>
  <c r="AF49" i="26"/>
  <c r="AD51" i="26"/>
  <c r="AC52" i="26"/>
  <c r="AC20" i="26" s="1"/>
  <c r="AC29" i="26" s="1"/>
  <c r="AA17" i="26"/>
  <c r="W5" i="29" s="1"/>
  <c r="W6" i="29" s="1"/>
  <c r="Z18" i="26"/>
  <c r="Z27" i="26" s="1"/>
  <c r="AG26" i="27" l="1"/>
  <c r="AH26" i="27" s="1"/>
  <c r="G5" i="27" s="1"/>
  <c r="AC17" i="27"/>
  <c r="X13" i="29"/>
  <c r="AB18" i="27"/>
  <c r="AB25" i="27" s="1"/>
  <c r="W14" i="29"/>
  <c r="AB17" i="26"/>
  <c r="X5" i="29" s="1"/>
  <c r="X6" i="29" s="1"/>
  <c r="AA18" i="26"/>
  <c r="AA27" i="26" s="1"/>
  <c r="AE51" i="26"/>
  <c r="AD52" i="26"/>
  <c r="AD20" i="26" s="1"/>
  <c r="AD29" i="26" s="1"/>
  <c r="X14" i="29" l="1"/>
  <c r="Y13" i="29"/>
  <c r="AD17" i="27"/>
  <c r="AC18" i="27"/>
  <c r="AC25" i="27" s="1"/>
  <c r="AF51" i="26"/>
  <c r="AF52" i="26" s="1"/>
  <c r="AF20" i="26" s="1"/>
  <c r="AF29" i="26" s="1"/>
  <c r="AE52" i="26"/>
  <c r="AE20" i="26" s="1"/>
  <c r="AE29" i="26" s="1"/>
  <c r="AC17" i="26"/>
  <c r="Y5" i="29" s="1"/>
  <c r="Y6" i="29" s="1"/>
  <c r="AB18" i="26"/>
  <c r="AB27" i="26" s="1"/>
  <c r="AD18" i="27" l="1"/>
  <c r="AD25" i="27" s="1"/>
  <c r="Z13" i="29"/>
  <c r="AE17" i="27"/>
  <c r="Y14" i="29"/>
  <c r="AC18" i="26"/>
  <c r="AC27" i="26" s="1"/>
  <c r="AD17" i="26"/>
  <c r="Z5" i="29" s="1"/>
  <c r="Z6" i="29" s="1"/>
  <c r="AG29" i="26"/>
  <c r="AH29" i="26" s="1"/>
  <c r="G6" i="26" s="1"/>
  <c r="AA13" i="29" l="1"/>
  <c r="AF17" i="27"/>
  <c r="AE18" i="27"/>
  <c r="AE25" i="27" s="1"/>
  <c r="Z14" i="29"/>
  <c r="AE17" i="26"/>
  <c r="AA5" i="29" s="1"/>
  <c r="AA6" i="29" s="1"/>
  <c r="AD18" i="26"/>
  <c r="AD27" i="26" s="1"/>
  <c r="AB13" i="29" l="1"/>
  <c r="AF18" i="27"/>
  <c r="AA14" i="29"/>
  <c r="AE18" i="26"/>
  <c r="AE27" i="26" s="1"/>
  <c r="AF17" i="26"/>
  <c r="AF18" i="26" l="1"/>
  <c r="AB5" i="29"/>
  <c r="AB6" i="29" s="1"/>
  <c r="AF25" i="27"/>
  <c r="AG25" i="27" s="1"/>
  <c r="AH25" i="27" s="1"/>
  <c r="G4" i="27" s="1"/>
  <c r="C10" i="27"/>
  <c r="C11" i="27" s="1"/>
  <c r="AB14" i="29"/>
  <c r="AF27" i="26"/>
  <c r="AG27" i="26" s="1"/>
  <c r="AH27" i="26" s="1"/>
  <c r="G4" i="26" s="1"/>
  <c r="C10" i="26"/>
  <c r="C11" i="26" s="1"/>
  <c r="C12" i="25" l="1"/>
  <c r="C13" i="25"/>
  <c r="C11" i="25"/>
  <c r="E11" i="25" l="1"/>
  <c r="E17" i="25"/>
  <c r="E15" i="25"/>
  <c r="E14" i="25"/>
  <c r="G11" i="25" l="1"/>
  <c r="C17" i="25" l="1"/>
  <c r="G17" i="25" l="1"/>
  <c r="C15" i="25"/>
  <c r="G15" i="25" l="1"/>
  <c r="C14" i="25" l="1"/>
  <c r="G14" i="25" l="1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D28" i="11"/>
  <c r="E28" i="11" s="1"/>
  <c r="F28" i="11" s="1"/>
  <c r="G28" i="11" s="1"/>
  <c r="H28" i="11" s="1"/>
  <c r="I28" i="11" s="1"/>
  <c r="J28" i="11" s="1"/>
  <c r="K28" i="11" s="1"/>
  <c r="L28" i="11" s="1"/>
  <c r="M28" i="11" s="1"/>
  <c r="N28" i="11" s="1"/>
  <c r="O28" i="11" s="1"/>
  <c r="P28" i="11" s="1"/>
  <c r="Q28" i="11" s="1"/>
  <c r="R28" i="11" s="1"/>
  <c r="S28" i="11" s="1"/>
  <c r="T28" i="11" s="1"/>
  <c r="U28" i="11" s="1"/>
  <c r="V28" i="11" s="1"/>
  <c r="W28" i="11" s="1"/>
  <c r="X28" i="11" s="1"/>
  <c r="Y28" i="11" s="1"/>
  <c r="Z28" i="11" s="1"/>
  <c r="AA28" i="11" s="1"/>
  <c r="AB28" i="11" s="1"/>
  <c r="D10" i="11"/>
  <c r="E10" i="11" s="1"/>
  <c r="F10" i="11" s="1"/>
  <c r="G10" i="11" s="1"/>
  <c r="H10" i="11" s="1"/>
  <c r="I10" i="11" s="1"/>
  <c r="J10" i="11" s="1"/>
  <c r="K10" i="11" s="1"/>
  <c r="L10" i="11" s="1"/>
  <c r="M10" i="11" s="1"/>
  <c r="N10" i="11" s="1"/>
  <c r="O10" i="11" s="1"/>
  <c r="P10" i="11" s="1"/>
  <c r="Q10" i="11" s="1"/>
  <c r="R10" i="11" s="1"/>
  <c r="S10" i="11" s="1"/>
  <c r="T10" i="11" s="1"/>
  <c r="U10" i="11" s="1"/>
  <c r="V10" i="11" s="1"/>
  <c r="W10" i="11" s="1"/>
  <c r="X10" i="11" s="1"/>
  <c r="Y10" i="11" s="1"/>
  <c r="Z10" i="11" s="1"/>
  <c r="AA10" i="11" s="1"/>
  <c r="AB10" i="11" s="1"/>
  <c r="D5" i="11"/>
  <c r="D41" i="11"/>
  <c r="E41" i="11" s="1"/>
  <c r="F41" i="11" s="1"/>
  <c r="G41" i="11" s="1"/>
  <c r="H41" i="11" s="1"/>
  <c r="I41" i="11" s="1"/>
  <c r="J41" i="11" s="1"/>
  <c r="K41" i="11" s="1"/>
  <c r="L41" i="11" s="1"/>
  <c r="M41" i="11" s="1"/>
  <c r="N41" i="11" s="1"/>
  <c r="O41" i="11" s="1"/>
  <c r="P41" i="11" s="1"/>
  <c r="Q41" i="11" s="1"/>
  <c r="R41" i="11" s="1"/>
  <c r="S41" i="11" s="1"/>
  <c r="T41" i="11" s="1"/>
  <c r="U41" i="11" s="1"/>
  <c r="V41" i="11" s="1"/>
  <c r="W41" i="11" s="1"/>
  <c r="X41" i="11" s="1"/>
  <c r="Y41" i="11" s="1"/>
  <c r="Z41" i="11" s="1"/>
  <c r="AA41" i="11" s="1"/>
  <c r="AB41" i="11" s="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7" i="23" l="1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D27" i="24"/>
  <c r="C11" i="24"/>
  <c r="W12" i="24" s="1"/>
  <c r="D27" i="23"/>
  <c r="E5" i="1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D15" i="10"/>
  <c r="E15" i="10" s="1"/>
  <c r="F15" i="10" s="1"/>
  <c r="G15" i="10" s="1"/>
  <c r="H15" i="10" s="1"/>
  <c r="I15" i="10" s="1"/>
  <c r="J15" i="10" s="1"/>
  <c r="K15" i="10" s="1"/>
  <c r="F6" i="10"/>
  <c r="I6" i="10" s="1"/>
  <c r="E6" i="10"/>
  <c r="P5" i="9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D5" i="9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D15" i="8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D14" i="8"/>
  <c r="E14" i="8" s="1"/>
  <c r="F14" i="8" s="1"/>
  <c r="D6" i="8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D5" i="8"/>
  <c r="E5" i="8" s="1"/>
  <c r="F5" i="8" s="1"/>
  <c r="G5" i="8" s="1"/>
  <c r="H17" i="7"/>
  <c r="G17" i="7"/>
  <c r="F17" i="7"/>
  <c r="E17" i="7"/>
  <c r="I16" i="7"/>
  <c r="H15" i="7"/>
  <c r="G15" i="7"/>
  <c r="F15" i="7"/>
  <c r="E15" i="7"/>
  <c r="I14" i="7"/>
  <c r="H13" i="7"/>
  <c r="G13" i="7"/>
  <c r="F13" i="7"/>
  <c r="E13" i="7"/>
  <c r="I12" i="7"/>
  <c r="H11" i="7"/>
  <c r="G11" i="7"/>
  <c r="F11" i="7"/>
  <c r="E11" i="7"/>
  <c r="I10" i="7"/>
  <c r="D1" i="7"/>
  <c r="E4" i="7" s="1"/>
  <c r="E6" i="7" s="1"/>
  <c r="F4" i="23" s="1"/>
  <c r="H16" i="6"/>
  <c r="H15" i="6"/>
  <c r="D17" i="6"/>
  <c r="D16" i="6"/>
  <c r="H6" i="6"/>
  <c r="H5" i="6"/>
  <c r="D7" i="6"/>
  <c r="D6" i="6"/>
  <c r="V12" i="24" l="1"/>
  <c r="E7" i="11"/>
  <c r="F4" i="24"/>
  <c r="E25" i="11"/>
  <c r="E6" i="11"/>
  <c r="E24" i="11"/>
  <c r="Y12" i="24"/>
  <c r="R12" i="24"/>
  <c r="Z12" i="24"/>
  <c r="F12" i="24"/>
  <c r="I12" i="24"/>
  <c r="M12" i="24"/>
  <c r="M17" i="24" s="1"/>
  <c r="N12" i="24"/>
  <c r="N17" i="24" s="1"/>
  <c r="J12" i="24"/>
  <c r="X12" i="24"/>
  <c r="V17" i="24"/>
  <c r="P12" i="24"/>
  <c r="AC12" i="24"/>
  <c r="AC17" i="24" s="1"/>
  <c r="E12" i="24"/>
  <c r="Q12" i="24"/>
  <c r="Q17" i="24" s="1"/>
  <c r="Y17" i="24"/>
  <c r="H12" i="24"/>
  <c r="U12" i="24"/>
  <c r="U17" i="24" s="1"/>
  <c r="W17" i="24"/>
  <c r="K12" i="24"/>
  <c r="S12" i="24"/>
  <c r="AA12" i="24"/>
  <c r="L12" i="24"/>
  <c r="T12" i="24"/>
  <c r="AB12" i="24"/>
  <c r="X17" i="24"/>
  <c r="R17" i="24"/>
  <c r="Z17" i="24"/>
  <c r="G12" i="24"/>
  <c r="O12" i="24"/>
  <c r="F14" i="24"/>
  <c r="J6" i="10"/>
  <c r="K6" i="10"/>
  <c r="G6" i="10"/>
  <c r="H6" i="10"/>
  <c r="G14" i="8"/>
  <c r="H14" i="8" s="1"/>
  <c r="F16" i="8"/>
  <c r="E16" i="8"/>
  <c r="D16" i="8"/>
  <c r="G7" i="8"/>
  <c r="H5" i="8"/>
  <c r="F7" i="8"/>
  <c r="E7" i="8"/>
  <c r="D7" i="8"/>
  <c r="I17" i="7"/>
  <c r="I11" i="7"/>
  <c r="F4" i="7"/>
  <c r="I13" i="7"/>
  <c r="I15" i="7"/>
  <c r="D4" i="7"/>
  <c r="D6" i="7" s="1"/>
  <c r="F6" i="7" l="1"/>
  <c r="G4" i="7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D7" i="11"/>
  <c r="E4" i="24"/>
  <c r="D25" i="11"/>
  <c r="D6" i="11"/>
  <c r="D24" i="11"/>
  <c r="E4" i="23"/>
  <c r="E14" i="24"/>
  <c r="P17" i="24"/>
  <c r="O17" i="24"/>
  <c r="AA17" i="24"/>
  <c r="T17" i="24"/>
  <c r="S17" i="24"/>
  <c r="AB17" i="24"/>
  <c r="G16" i="8"/>
  <c r="I14" i="8"/>
  <c r="H16" i="8"/>
  <c r="I5" i="8"/>
  <c r="H7" i="8"/>
  <c r="G6" i="7"/>
  <c r="G24" i="11" l="1"/>
  <c r="G7" i="11"/>
  <c r="H4" i="24"/>
  <c r="H14" i="24" s="1"/>
  <c r="G25" i="11"/>
  <c r="G6" i="11"/>
  <c r="H4" i="23"/>
  <c r="G4" i="24"/>
  <c r="G14" i="24" s="1"/>
  <c r="F25" i="11"/>
  <c r="F6" i="11"/>
  <c r="F24" i="11"/>
  <c r="F7" i="11"/>
  <c r="G4" i="23"/>
  <c r="I16" i="8"/>
  <c r="J14" i="8"/>
  <c r="I7" i="8"/>
  <c r="J5" i="8"/>
  <c r="H6" i="7"/>
  <c r="H7" i="11" l="1"/>
  <c r="I4" i="24"/>
  <c r="I14" i="24" s="1"/>
  <c r="H25" i="11"/>
  <c r="H6" i="11"/>
  <c r="H24" i="11"/>
  <c r="I4" i="23"/>
  <c r="K14" i="8"/>
  <c r="J16" i="8"/>
  <c r="K5" i="8"/>
  <c r="J7" i="8"/>
  <c r="I6" i="7"/>
  <c r="I7" i="11" l="1"/>
  <c r="J4" i="24"/>
  <c r="J14" i="24" s="1"/>
  <c r="I25" i="11"/>
  <c r="I6" i="11"/>
  <c r="I24" i="11"/>
  <c r="J4" i="23"/>
  <c r="K16" i="8"/>
  <c r="L14" i="8"/>
  <c r="L5" i="8"/>
  <c r="K7" i="8"/>
  <c r="J6" i="7"/>
  <c r="K4" i="24" l="1"/>
  <c r="K14" i="24" s="1"/>
  <c r="J25" i="11"/>
  <c r="J6" i="11"/>
  <c r="J24" i="11"/>
  <c r="J7" i="11"/>
  <c r="K4" i="23"/>
  <c r="M14" i="8"/>
  <c r="L16" i="8"/>
  <c r="M5" i="8"/>
  <c r="L7" i="8"/>
  <c r="K6" i="7"/>
  <c r="K24" i="11" l="1"/>
  <c r="K7" i="11"/>
  <c r="L4" i="24"/>
  <c r="L14" i="24" s="1"/>
  <c r="K25" i="11"/>
  <c r="K6" i="11"/>
  <c r="L4" i="23"/>
  <c r="M16" i="8"/>
  <c r="N14" i="8"/>
  <c r="M7" i="8"/>
  <c r="N5" i="8"/>
  <c r="L6" i="7"/>
  <c r="L7" i="11" l="1"/>
  <c r="M4" i="24"/>
  <c r="M14" i="24" s="1"/>
  <c r="L25" i="11"/>
  <c r="L6" i="11"/>
  <c r="L24" i="11"/>
  <c r="M4" i="23"/>
  <c r="O14" i="8"/>
  <c r="N16" i="8"/>
  <c r="N7" i="8"/>
  <c r="O5" i="8"/>
  <c r="M6" i="7"/>
  <c r="M7" i="11" l="1"/>
  <c r="N4" i="24"/>
  <c r="N14" i="24" s="1"/>
  <c r="M25" i="11"/>
  <c r="M6" i="11"/>
  <c r="M24" i="11"/>
  <c r="N4" i="23"/>
  <c r="P14" i="8"/>
  <c r="O16" i="8"/>
  <c r="P5" i="8"/>
  <c r="O7" i="8"/>
  <c r="N6" i="7"/>
  <c r="O4" i="24" l="1"/>
  <c r="O14" i="24" s="1"/>
  <c r="N25" i="11"/>
  <c r="N6" i="11"/>
  <c r="N24" i="11"/>
  <c r="N7" i="11"/>
  <c r="O4" i="23"/>
  <c r="Q14" i="8"/>
  <c r="P16" i="8"/>
  <c r="Q5" i="8"/>
  <c r="P7" i="8"/>
  <c r="O6" i="7"/>
  <c r="O24" i="11" l="1"/>
  <c r="O7" i="11"/>
  <c r="P4" i="24"/>
  <c r="P14" i="24" s="1"/>
  <c r="O25" i="11"/>
  <c r="O6" i="11"/>
  <c r="P4" i="23"/>
  <c r="Q16" i="8"/>
  <c r="R14" i="8"/>
  <c r="Q7" i="8"/>
  <c r="R5" i="8"/>
  <c r="P6" i="7"/>
  <c r="P7" i="11" l="1"/>
  <c r="Q4" i="24"/>
  <c r="Q14" i="24" s="1"/>
  <c r="P25" i="11"/>
  <c r="P6" i="11"/>
  <c r="P24" i="11"/>
  <c r="Q4" i="23"/>
  <c r="S14" i="8"/>
  <c r="R16" i="8"/>
  <c r="R7" i="8"/>
  <c r="S5" i="8"/>
  <c r="Q6" i="7"/>
  <c r="Q7" i="11" l="1"/>
  <c r="R4" i="24"/>
  <c r="R14" i="24" s="1"/>
  <c r="Q25" i="11"/>
  <c r="Q6" i="11"/>
  <c r="Q24" i="11"/>
  <c r="R4" i="23"/>
  <c r="S16" i="8"/>
  <c r="T14" i="8"/>
  <c r="S7" i="8"/>
  <c r="T5" i="8"/>
  <c r="R6" i="7"/>
  <c r="S4" i="24" l="1"/>
  <c r="S14" i="24" s="1"/>
  <c r="R25" i="11"/>
  <c r="R6" i="11"/>
  <c r="R24" i="11"/>
  <c r="R7" i="11"/>
  <c r="S4" i="23"/>
  <c r="T16" i="8"/>
  <c r="U14" i="8"/>
  <c r="U5" i="8"/>
  <c r="T7" i="8"/>
  <c r="S6" i="7"/>
  <c r="S24" i="11" l="1"/>
  <c r="S7" i="11"/>
  <c r="T4" i="24"/>
  <c r="T14" i="24" s="1"/>
  <c r="S25" i="11"/>
  <c r="S6" i="11"/>
  <c r="T4" i="23"/>
  <c r="U16" i="8"/>
  <c r="V14" i="8"/>
  <c r="U7" i="8"/>
  <c r="V5" i="8"/>
  <c r="T6" i="7"/>
  <c r="T7" i="11" l="1"/>
  <c r="U4" i="24"/>
  <c r="U14" i="24" s="1"/>
  <c r="T25" i="11"/>
  <c r="T6" i="11"/>
  <c r="T24" i="11"/>
  <c r="U4" i="23"/>
  <c r="W14" i="8"/>
  <c r="V16" i="8"/>
  <c r="W5" i="8"/>
  <c r="V7" i="8"/>
  <c r="U6" i="7"/>
  <c r="U7" i="11" l="1"/>
  <c r="V4" i="24"/>
  <c r="V14" i="24" s="1"/>
  <c r="U25" i="11"/>
  <c r="U6" i="11"/>
  <c r="U24" i="11"/>
  <c r="V4" i="23"/>
  <c r="X14" i="8"/>
  <c r="W16" i="8"/>
  <c r="X5" i="8"/>
  <c r="W7" i="8"/>
  <c r="V6" i="7"/>
  <c r="W4" i="24" l="1"/>
  <c r="W14" i="24" s="1"/>
  <c r="V25" i="11"/>
  <c r="V6" i="11"/>
  <c r="V24" i="11"/>
  <c r="V7" i="11"/>
  <c r="W4" i="23"/>
  <c r="Y14" i="8"/>
  <c r="X16" i="8"/>
  <c r="Y5" i="8"/>
  <c r="X7" i="8"/>
  <c r="W6" i="7"/>
  <c r="W24" i="11" l="1"/>
  <c r="W7" i="11"/>
  <c r="X4" i="24"/>
  <c r="X14" i="24" s="1"/>
  <c r="W25" i="11"/>
  <c r="W6" i="11"/>
  <c r="X4" i="23"/>
  <c r="Z14" i="8"/>
  <c r="Y16" i="8"/>
  <c r="Y7" i="8"/>
  <c r="Z5" i="8"/>
  <c r="X6" i="7"/>
  <c r="X7" i="11" l="1"/>
  <c r="Y4" i="24"/>
  <c r="Y14" i="24" s="1"/>
  <c r="X25" i="11"/>
  <c r="X6" i="11"/>
  <c r="X24" i="11"/>
  <c r="Y4" i="23"/>
  <c r="AA14" i="8"/>
  <c r="Z16" i="8"/>
  <c r="AA5" i="8"/>
  <c r="Z7" i="8"/>
  <c r="Y6" i="7"/>
  <c r="Y7" i="11" l="1"/>
  <c r="Z4" i="24"/>
  <c r="Z14" i="24" s="1"/>
  <c r="Y25" i="11"/>
  <c r="Y6" i="11"/>
  <c r="Y24" i="11"/>
  <c r="Z4" i="23"/>
  <c r="AA16" i="8"/>
  <c r="AB14" i="8"/>
  <c r="AB16" i="8" s="1"/>
  <c r="AA7" i="8"/>
  <c r="AB5" i="8"/>
  <c r="AB7" i="8" s="1"/>
  <c r="Z6" i="7"/>
  <c r="AA4" i="24" l="1"/>
  <c r="AA14" i="24" s="1"/>
  <c r="Z25" i="11"/>
  <c r="Z6" i="11"/>
  <c r="Z24" i="11"/>
  <c r="Z7" i="11"/>
  <c r="AA4" i="23"/>
  <c r="AA6" i="7"/>
  <c r="AB6" i="7"/>
  <c r="AA24" i="11" l="1"/>
  <c r="AA7" i="11"/>
  <c r="AB4" i="24"/>
  <c r="AB14" i="24" s="1"/>
  <c r="AA25" i="11"/>
  <c r="AA6" i="11"/>
  <c r="AB4" i="23"/>
  <c r="AB7" i="11"/>
  <c r="AC4" i="24"/>
  <c r="AC14" i="24" s="1"/>
  <c r="AB25" i="11"/>
  <c r="AB6" i="11"/>
  <c r="AB24" i="11"/>
  <c r="AC4" i="23"/>
  <c r="E25" i="22" l="1"/>
  <c r="E11" i="22"/>
  <c r="E22" i="22"/>
  <c r="E8" i="22"/>
  <c r="E21" i="22"/>
  <c r="E7" i="22"/>
  <c r="E6" i="22"/>
  <c r="E5" i="22"/>
  <c r="E4" i="22"/>
  <c r="L19" i="20"/>
  <c r="L18" i="20"/>
  <c r="L6" i="20"/>
  <c r="L9" i="20" s="1"/>
  <c r="L11" i="20" s="1"/>
  <c r="F26" i="20"/>
  <c r="L24" i="20"/>
  <c r="F23" i="20"/>
  <c r="F25" i="20" s="1"/>
  <c r="K22" i="20"/>
  <c r="L20" i="20"/>
  <c r="L21" i="20" s="1"/>
  <c r="L15" i="20"/>
  <c r="L12" i="20"/>
  <c r="F12" i="20"/>
  <c r="F9" i="20"/>
  <c r="F11" i="20" s="1"/>
  <c r="L8" i="20"/>
  <c r="F8" i="20"/>
  <c r="L7" i="20"/>
  <c r="F7" i="20"/>
  <c r="K4" i="20"/>
  <c r="K3" i="20"/>
  <c r="L25" i="20" l="1"/>
  <c r="L23" i="20"/>
  <c r="L22" i="20"/>
  <c r="F24" i="20"/>
  <c r="F27" i="20"/>
  <c r="L10" i="20"/>
  <c r="L14" i="20" s="1"/>
  <c r="L16" i="20" s="1"/>
  <c r="L17" i="20" s="1"/>
  <c r="F10" i="20"/>
  <c r="F14" i="20" s="1"/>
  <c r="F28" i="20" l="1"/>
  <c r="L26" i="20"/>
  <c r="L27" i="20" s="1"/>
  <c r="L28" i="20" s="1"/>
  <c r="F17" i="20"/>
  <c r="F16" i="20"/>
  <c r="E24" i="22" l="1"/>
  <c r="F19" i="20"/>
  <c r="F29" i="20" s="1"/>
  <c r="F30" i="20" s="1"/>
  <c r="E10" i="22" l="1"/>
  <c r="G7" i="4"/>
  <c r="F26" i="4" l="1"/>
  <c r="M5" i="4" l="1"/>
  <c r="G5" i="4"/>
  <c r="N5" i="4" s="1"/>
  <c r="M23" i="4" l="1"/>
  <c r="L25" i="4"/>
  <c r="F14" i="4" l="1"/>
  <c r="G14" i="4" s="1"/>
  <c r="N27" i="4" l="1"/>
  <c r="N23" i="4"/>
  <c r="N24" i="4" s="1"/>
  <c r="N4" i="4"/>
  <c r="N28" i="4" l="1"/>
  <c r="N26" i="4"/>
  <c r="G15" i="4"/>
  <c r="G20" i="4" s="1"/>
  <c r="G24" i="4" l="1"/>
  <c r="G23" i="4"/>
  <c r="N6" i="4"/>
  <c r="N7" i="4" s="1"/>
  <c r="N15" i="4" s="1"/>
  <c r="M7" i="4"/>
  <c r="M10" i="4" s="1"/>
  <c r="F10" i="4"/>
  <c r="F11" i="4" s="1"/>
  <c r="N17" i="4" l="1"/>
  <c r="N18" i="4"/>
  <c r="G18" i="4"/>
  <c r="G17" i="4"/>
  <c r="G25" i="4"/>
  <c r="G26" i="4" s="1"/>
  <c r="G22" i="4" l="1"/>
  <c r="G28" i="4"/>
  <c r="G27" i="4"/>
  <c r="G30" i="4"/>
  <c r="L4" i="4"/>
  <c r="L3" i="4"/>
  <c r="E25" i="1" l="1"/>
  <c r="F23" i="1"/>
  <c r="M8" i="4" l="1"/>
  <c r="M9" i="4"/>
  <c r="M13" i="4"/>
  <c r="M16" i="4"/>
  <c r="M21" i="4"/>
  <c r="N21" i="4" s="1"/>
  <c r="M22" i="4"/>
  <c r="N22" i="4" s="1"/>
  <c r="M25" i="4"/>
  <c r="M24" i="4"/>
  <c r="M26" i="4" s="1"/>
  <c r="M27" i="4"/>
  <c r="N16" i="4" l="1"/>
  <c r="N20" i="4" s="1"/>
  <c r="N25" i="4"/>
  <c r="N29" i="4" s="1"/>
  <c r="N30" i="4"/>
  <c r="M28" i="4"/>
  <c r="M12" i="4"/>
  <c r="M11" i="4"/>
  <c r="M29" i="4" l="1"/>
  <c r="M15" i="4"/>
  <c r="M18" i="4" s="1"/>
  <c r="M20" i="4" s="1"/>
  <c r="E11" i="18"/>
  <c r="E8" i="1" s="1"/>
  <c r="D3" i="6" s="1"/>
  <c r="D5" i="6" s="1"/>
  <c r="D9" i="6" s="1"/>
  <c r="G7" i="6" s="1"/>
  <c r="D4" i="9" l="1"/>
  <c r="G5" i="6"/>
  <c r="D4" i="10" s="1"/>
  <c r="D7" i="10" s="1"/>
  <c r="E7" i="23" s="1"/>
  <c r="G6" i="6"/>
  <c r="D4" i="8" s="1"/>
  <c r="M30" i="4"/>
  <c r="F29" i="4"/>
  <c r="G29" i="4" s="1"/>
  <c r="G31" i="4" s="1"/>
  <c r="E4" i="8" l="1"/>
  <c r="D8" i="8"/>
  <c r="E5" i="23" s="1"/>
  <c r="E4" i="9"/>
  <c r="D6" i="9"/>
  <c r="M31" i="4"/>
  <c r="N32" i="4" s="1"/>
  <c r="F27" i="4"/>
  <c r="G32" i="4"/>
  <c r="F28" i="4"/>
  <c r="F12" i="4"/>
  <c r="F30" i="4"/>
  <c r="E21" i="1"/>
  <c r="E24" i="1" s="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F25" i="1"/>
  <c r="F4" i="9" l="1"/>
  <c r="E6" i="9"/>
  <c r="E6" i="23"/>
  <c r="D5" i="10"/>
  <c r="D8" i="10" s="1"/>
  <c r="E4" i="10" s="1"/>
  <c r="F4" i="8"/>
  <c r="E8" i="8"/>
  <c r="F5" i="23" s="1"/>
  <c r="E9" i="22"/>
  <c r="E12" i="22" s="1"/>
  <c r="F31" i="4"/>
  <c r="E6" i="1"/>
  <c r="G4" i="8" l="1"/>
  <c r="F8" i="8"/>
  <c r="G5" i="23" s="1"/>
  <c r="E5" i="10"/>
  <c r="F6" i="23"/>
  <c r="E7" i="10"/>
  <c r="F7" i="23" s="1"/>
  <c r="E8" i="10"/>
  <c r="F4" i="10" s="1"/>
  <c r="G4" i="9"/>
  <c r="F6" i="9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D33" i="10"/>
  <c r="D27" i="6"/>
  <c r="D26" i="6"/>
  <c r="G6" i="23" l="1"/>
  <c r="F5" i="10"/>
  <c r="F8" i="10" s="1"/>
  <c r="G4" i="10" s="1"/>
  <c r="F7" i="10"/>
  <c r="G7" i="23" s="1"/>
  <c r="H4" i="8"/>
  <c r="G8" i="8"/>
  <c r="H5" i="23" s="1"/>
  <c r="H4" i="9"/>
  <c r="G6" i="9"/>
  <c r="P19" i="9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D19" i="9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F29" i="1"/>
  <c r="F28" i="1"/>
  <c r="G7" i="10" l="1"/>
  <c r="H7" i="23" s="1"/>
  <c r="I4" i="8"/>
  <c r="H8" i="8"/>
  <c r="I5" i="23" s="1"/>
  <c r="D12" i="9"/>
  <c r="D26" i="9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G5" i="10"/>
  <c r="G8" i="10" s="1"/>
  <c r="H4" i="10" s="1"/>
  <c r="H6" i="23"/>
  <c r="P26" i="9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P12" i="9"/>
  <c r="H6" i="9"/>
  <c r="I4" i="9"/>
  <c r="D23" i="6"/>
  <c r="D37" i="6"/>
  <c r="D36" i="6"/>
  <c r="F21" i="1"/>
  <c r="F3" i="1"/>
  <c r="H7" i="10" l="1"/>
  <c r="I7" i="23" s="1"/>
  <c r="Q12" i="9"/>
  <c r="J4" i="8"/>
  <c r="I8" i="8"/>
  <c r="J5" i="23" s="1"/>
  <c r="F24" i="1"/>
  <c r="E23" i="22"/>
  <c r="H5" i="10"/>
  <c r="H8" i="10" s="1"/>
  <c r="I4" i="10" s="1"/>
  <c r="I6" i="23"/>
  <c r="J4" i="9"/>
  <c r="I6" i="9"/>
  <c r="E12" i="9"/>
  <c r="E18" i="22"/>
  <c r="F12" i="1"/>
  <c r="F5" i="1"/>
  <c r="E20" i="22" s="1"/>
  <c r="E26" i="22" s="1"/>
  <c r="E24" i="10"/>
  <c r="E33" i="10" s="1"/>
  <c r="F8" i="1"/>
  <c r="I7" i="10" l="1"/>
  <c r="J7" i="23" s="1"/>
  <c r="K4" i="9"/>
  <c r="J6" i="9"/>
  <c r="F12" i="9"/>
  <c r="K4" i="8"/>
  <c r="J8" i="8"/>
  <c r="K5" i="23" s="1"/>
  <c r="J6" i="23"/>
  <c r="I5" i="10"/>
  <c r="I8" i="10" s="1"/>
  <c r="J4" i="10" s="1"/>
  <c r="R12" i="9"/>
  <c r="D33" i="6"/>
  <c r="D13" i="6"/>
  <c r="D15" i="6" s="1"/>
  <c r="D19" i="6" s="1"/>
  <c r="G17" i="6" s="1"/>
  <c r="F6" i="1"/>
  <c r="F24" i="10"/>
  <c r="F33" i="10" s="1"/>
  <c r="F13" i="4"/>
  <c r="F9" i="4"/>
  <c r="F8" i="4"/>
  <c r="J7" i="10" l="1"/>
  <c r="K7" i="23" s="1"/>
  <c r="K6" i="23"/>
  <c r="J5" i="10"/>
  <c r="J8" i="10" s="1"/>
  <c r="K4" i="10" s="1"/>
  <c r="L4" i="9"/>
  <c r="K6" i="9"/>
  <c r="L6" i="23" s="1"/>
  <c r="G12" i="9"/>
  <c r="S12" i="9"/>
  <c r="L4" i="8"/>
  <c r="K8" i="8"/>
  <c r="L5" i="23" s="1"/>
  <c r="D11" i="9"/>
  <c r="G15" i="6"/>
  <c r="D13" i="10" s="1"/>
  <c r="G16" i="6"/>
  <c r="D13" i="8" s="1"/>
  <c r="F15" i="4"/>
  <c r="F20" i="4" s="1"/>
  <c r="F19" i="4"/>
  <c r="F22" i="4" s="1"/>
  <c r="K5" i="10" l="1"/>
  <c r="K7" i="10"/>
  <c r="L7" i="23" s="1"/>
  <c r="K8" i="10"/>
  <c r="L4" i="10" s="1"/>
  <c r="L5" i="10" s="1"/>
  <c r="H12" i="9"/>
  <c r="I12" i="9" s="1"/>
  <c r="E11" i="9"/>
  <c r="D13" i="9"/>
  <c r="T12" i="9"/>
  <c r="M4" i="9"/>
  <c r="L6" i="9"/>
  <c r="M6" i="23" s="1"/>
  <c r="D16" i="10"/>
  <c r="E7" i="24" s="1"/>
  <c r="E17" i="24" s="1"/>
  <c r="M4" i="8"/>
  <c r="L8" i="8"/>
  <c r="M5" i="23" s="1"/>
  <c r="E13" i="8"/>
  <c r="D17" i="8"/>
  <c r="E5" i="24" s="1"/>
  <c r="E15" i="24" s="1"/>
  <c r="J12" i="9" l="1"/>
  <c r="E6" i="24"/>
  <c r="E16" i="24" s="1"/>
  <c r="D14" i="10"/>
  <c r="D17" i="10" s="1"/>
  <c r="E13" i="10" s="1"/>
  <c r="N4" i="8"/>
  <c r="M8" i="8"/>
  <c r="N5" i="23" s="1"/>
  <c r="U12" i="9"/>
  <c r="F11" i="9"/>
  <c r="E13" i="9"/>
  <c r="M6" i="9"/>
  <c r="N6" i="23" s="1"/>
  <c r="N4" i="9"/>
  <c r="F13" i="8"/>
  <c r="E17" i="8"/>
  <c r="F5" i="24" s="1"/>
  <c r="F15" i="24" s="1"/>
  <c r="F32" i="4"/>
  <c r="F33" i="4" s="1"/>
  <c r="G34" i="4" s="1"/>
  <c r="F4" i="1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E17" i="1"/>
  <c r="E16" i="1" s="1"/>
  <c r="C11" i="23" s="1"/>
  <c r="D23" i="11" l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O23" i="11" s="1"/>
  <c r="P23" i="11" s="1"/>
  <c r="Q23" i="11" s="1"/>
  <c r="R23" i="11" s="1"/>
  <c r="S23" i="11" s="1"/>
  <c r="T23" i="11" s="1"/>
  <c r="U23" i="11" s="1"/>
  <c r="V23" i="11" s="1"/>
  <c r="W23" i="11" s="1"/>
  <c r="X23" i="11" s="1"/>
  <c r="Y23" i="11" s="1"/>
  <c r="Z23" i="11" s="1"/>
  <c r="AA23" i="11" s="1"/>
  <c r="AB23" i="11" s="1"/>
  <c r="D59" i="11"/>
  <c r="E59" i="11" s="1"/>
  <c r="F59" i="11" s="1"/>
  <c r="G59" i="11" s="1"/>
  <c r="H59" i="11" s="1"/>
  <c r="I59" i="11" s="1"/>
  <c r="J59" i="11" s="1"/>
  <c r="K59" i="11" s="1"/>
  <c r="L59" i="11" s="1"/>
  <c r="M59" i="11" s="1"/>
  <c r="N59" i="11" s="1"/>
  <c r="O59" i="11" s="1"/>
  <c r="P59" i="11" s="1"/>
  <c r="Q59" i="11" s="1"/>
  <c r="R59" i="11" s="1"/>
  <c r="S59" i="11" s="1"/>
  <c r="T59" i="11" s="1"/>
  <c r="U59" i="11" s="1"/>
  <c r="V59" i="11" s="1"/>
  <c r="W59" i="11" s="1"/>
  <c r="X59" i="11" s="1"/>
  <c r="Y59" i="11" s="1"/>
  <c r="Z59" i="11" s="1"/>
  <c r="AA59" i="11" s="1"/>
  <c r="AB59" i="11" s="1"/>
  <c r="D58" i="11"/>
  <c r="E58" i="11" s="1"/>
  <c r="F58" i="11" s="1"/>
  <c r="G58" i="11" s="1"/>
  <c r="H58" i="11" s="1"/>
  <c r="I58" i="11" s="1"/>
  <c r="J58" i="11" s="1"/>
  <c r="K58" i="11" s="1"/>
  <c r="L58" i="11" s="1"/>
  <c r="M58" i="11" s="1"/>
  <c r="N58" i="11" s="1"/>
  <c r="O58" i="11" s="1"/>
  <c r="P58" i="11" s="1"/>
  <c r="Q58" i="11" s="1"/>
  <c r="R58" i="11" s="1"/>
  <c r="S58" i="11" s="1"/>
  <c r="T58" i="11" s="1"/>
  <c r="U58" i="11" s="1"/>
  <c r="V58" i="11" s="1"/>
  <c r="W58" i="11" s="1"/>
  <c r="X58" i="11" s="1"/>
  <c r="Y58" i="11" s="1"/>
  <c r="Z58" i="11" s="1"/>
  <c r="AA58" i="11" s="1"/>
  <c r="AB58" i="11" s="1"/>
  <c r="D22" i="11"/>
  <c r="E22" i="11" s="1"/>
  <c r="F22" i="11" s="1"/>
  <c r="G22" i="11" s="1"/>
  <c r="H22" i="11" s="1"/>
  <c r="I22" i="11" s="1"/>
  <c r="J22" i="11" s="1"/>
  <c r="K22" i="11" s="1"/>
  <c r="L22" i="11" s="1"/>
  <c r="M22" i="11" s="1"/>
  <c r="N22" i="11" s="1"/>
  <c r="O22" i="11" s="1"/>
  <c r="P22" i="11" s="1"/>
  <c r="Q22" i="11" s="1"/>
  <c r="R22" i="11" s="1"/>
  <c r="S22" i="11" s="1"/>
  <c r="T22" i="11" s="1"/>
  <c r="U22" i="11" s="1"/>
  <c r="V22" i="11" s="1"/>
  <c r="W22" i="11" s="1"/>
  <c r="X22" i="11" s="1"/>
  <c r="Y22" i="11" s="1"/>
  <c r="Z22" i="11" s="1"/>
  <c r="AA22" i="11" s="1"/>
  <c r="AB22" i="11" s="1"/>
  <c r="O4" i="9"/>
  <c r="N6" i="9"/>
  <c r="O6" i="23" s="1"/>
  <c r="G11" i="9"/>
  <c r="F13" i="9"/>
  <c r="F6" i="24"/>
  <c r="F16" i="24" s="1"/>
  <c r="E14" i="10"/>
  <c r="R12" i="23"/>
  <c r="J12" i="23"/>
  <c r="X12" i="23"/>
  <c r="AA12" i="23"/>
  <c r="L12" i="23"/>
  <c r="M12" i="23"/>
  <c r="N12" i="23"/>
  <c r="W12" i="23"/>
  <c r="I12" i="23"/>
  <c r="T12" i="23"/>
  <c r="U12" i="23"/>
  <c r="V12" i="23"/>
  <c r="H12" i="23"/>
  <c r="Q12" i="23"/>
  <c r="K12" i="23"/>
  <c r="AB12" i="23"/>
  <c r="AC12" i="23"/>
  <c r="G12" i="23"/>
  <c r="P12" i="23"/>
  <c r="Z12" i="23"/>
  <c r="Y12" i="23"/>
  <c r="S12" i="23"/>
  <c r="E12" i="23"/>
  <c r="F12" i="23"/>
  <c r="O12" i="23"/>
  <c r="N16" i="23"/>
  <c r="N15" i="23"/>
  <c r="E16" i="10"/>
  <c r="F7" i="24" s="1"/>
  <c r="F17" i="24" s="1"/>
  <c r="D40" i="11"/>
  <c r="E40" i="11" s="1"/>
  <c r="F40" i="11" s="1"/>
  <c r="G40" i="11" s="1"/>
  <c r="H40" i="11" s="1"/>
  <c r="I40" i="11" s="1"/>
  <c r="J40" i="11" s="1"/>
  <c r="K40" i="11" s="1"/>
  <c r="L40" i="11" s="1"/>
  <c r="M40" i="11" s="1"/>
  <c r="N40" i="11" s="1"/>
  <c r="O40" i="11" s="1"/>
  <c r="P40" i="11" s="1"/>
  <c r="Q40" i="11" s="1"/>
  <c r="R40" i="11" s="1"/>
  <c r="S40" i="11" s="1"/>
  <c r="T40" i="11" s="1"/>
  <c r="U40" i="11" s="1"/>
  <c r="V40" i="11" s="1"/>
  <c r="W40" i="11" s="1"/>
  <c r="X40" i="11" s="1"/>
  <c r="Y40" i="11" s="1"/>
  <c r="Z40" i="11" s="1"/>
  <c r="AA40" i="11" s="1"/>
  <c r="AB40" i="11" s="1"/>
  <c r="G13" i="8"/>
  <c r="F17" i="8"/>
  <c r="G5" i="24" s="1"/>
  <c r="G15" i="24" s="1"/>
  <c r="V12" i="9"/>
  <c r="O4" i="8"/>
  <c r="N8" i="8"/>
  <c r="O5" i="23" s="1"/>
  <c r="K12" i="9"/>
  <c r="E17" i="14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P17" i="14" s="1"/>
  <c r="Q17" i="14" s="1"/>
  <c r="R17" i="14" s="1"/>
  <c r="S17" i="14" s="1"/>
  <c r="T17" i="14" s="1"/>
  <c r="U17" i="14" s="1"/>
  <c r="V17" i="14" s="1"/>
  <c r="W17" i="14" s="1"/>
  <c r="X17" i="14" s="1"/>
  <c r="Y17" i="14" s="1"/>
  <c r="Z17" i="14" s="1"/>
  <c r="AA17" i="14" s="1"/>
  <c r="AB17" i="14" s="1"/>
  <c r="AC17" i="14" s="1"/>
  <c r="H5" i="14"/>
  <c r="H6" i="14" s="1"/>
  <c r="P5" i="14"/>
  <c r="P6" i="14" s="1"/>
  <c r="X5" i="14"/>
  <c r="X6" i="14" s="1"/>
  <c r="I5" i="14"/>
  <c r="I6" i="14" s="1"/>
  <c r="Q5" i="14"/>
  <c r="Q6" i="14" s="1"/>
  <c r="Y5" i="14"/>
  <c r="Y6" i="14" s="1"/>
  <c r="F5" i="14"/>
  <c r="F6" i="14" s="1"/>
  <c r="N5" i="14"/>
  <c r="N6" i="14" s="1"/>
  <c r="Z5" i="14"/>
  <c r="Z6" i="14" s="1"/>
  <c r="L5" i="14"/>
  <c r="L6" i="14" s="1"/>
  <c r="T5" i="14"/>
  <c r="T6" i="14" s="1"/>
  <c r="AB5" i="14"/>
  <c r="AB6" i="14" s="1"/>
  <c r="E5" i="14"/>
  <c r="E6" i="14" s="1"/>
  <c r="M5" i="14"/>
  <c r="M6" i="14" s="1"/>
  <c r="U5" i="14"/>
  <c r="U6" i="14" s="1"/>
  <c r="AC5" i="14"/>
  <c r="AC6" i="14" s="1"/>
  <c r="J5" i="14"/>
  <c r="J6" i="14" s="1"/>
  <c r="R5" i="14"/>
  <c r="R6" i="14" s="1"/>
  <c r="V5" i="14"/>
  <c r="V6" i="14" s="1"/>
  <c r="G5" i="14"/>
  <c r="G6" i="14" s="1"/>
  <c r="K5" i="14"/>
  <c r="K6" i="14" s="1"/>
  <c r="O5" i="14"/>
  <c r="O6" i="14" s="1"/>
  <c r="S5" i="14"/>
  <c r="S6" i="14" s="1"/>
  <c r="W5" i="14"/>
  <c r="W6" i="14" s="1"/>
  <c r="AA5" i="14"/>
  <c r="AA6" i="14" s="1"/>
  <c r="C11" i="13"/>
  <c r="C11" i="12"/>
  <c r="T12" i="12" s="1"/>
  <c r="F14" i="23" l="1"/>
  <c r="F15" i="23"/>
  <c r="F16" i="23"/>
  <c r="F17" i="23"/>
  <c r="Z17" i="23"/>
  <c r="Z14" i="23"/>
  <c r="AB17" i="23"/>
  <c r="AB14" i="23"/>
  <c r="V14" i="23"/>
  <c r="V17" i="23"/>
  <c r="W17" i="23"/>
  <c r="W14" i="23"/>
  <c r="AA17" i="23"/>
  <c r="AA14" i="23"/>
  <c r="H11" i="9"/>
  <c r="G13" i="9"/>
  <c r="Y17" i="23"/>
  <c r="Y14" i="23"/>
  <c r="H14" i="23"/>
  <c r="H15" i="23"/>
  <c r="H16" i="23"/>
  <c r="H17" i="23"/>
  <c r="L14" i="23"/>
  <c r="L15" i="23"/>
  <c r="L16" i="23"/>
  <c r="L17" i="23"/>
  <c r="L12" i="9"/>
  <c r="W12" i="9"/>
  <c r="E14" i="23"/>
  <c r="E17" i="23"/>
  <c r="E15" i="23"/>
  <c r="E16" i="23"/>
  <c r="P17" i="23"/>
  <c r="P14" i="23"/>
  <c r="K14" i="23"/>
  <c r="K15" i="23"/>
  <c r="K16" i="23"/>
  <c r="K17" i="23"/>
  <c r="U14" i="23"/>
  <c r="U17" i="23"/>
  <c r="N17" i="23"/>
  <c r="N14" i="23"/>
  <c r="X17" i="23"/>
  <c r="X14" i="23"/>
  <c r="O16" i="23"/>
  <c r="P4" i="8"/>
  <c r="O8" i="8"/>
  <c r="P5" i="23" s="1"/>
  <c r="P15" i="23" s="1"/>
  <c r="H13" i="8"/>
  <c r="G17" i="8"/>
  <c r="H5" i="24" s="1"/>
  <c r="H15" i="24" s="1"/>
  <c r="O17" i="23"/>
  <c r="O14" i="23"/>
  <c r="AC17" i="23"/>
  <c r="AC14" i="23"/>
  <c r="I14" i="23"/>
  <c r="I15" i="23"/>
  <c r="I17" i="23"/>
  <c r="I16" i="23"/>
  <c r="R17" i="23"/>
  <c r="R14" i="23"/>
  <c r="F14" i="10"/>
  <c r="G6" i="24"/>
  <c r="G16" i="24" s="1"/>
  <c r="E7" i="14"/>
  <c r="E8" i="14" s="1"/>
  <c r="E20" i="24" s="1"/>
  <c r="AA7" i="14"/>
  <c r="W7" i="14"/>
  <c r="S7" i="14"/>
  <c r="O7" i="14"/>
  <c r="K7" i="14"/>
  <c r="G7" i="14"/>
  <c r="Z7" i="14"/>
  <c r="V7" i="14"/>
  <c r="V8" i="14" s="1"/>
  <c r="R7" i="14"/>
  <c r="N7" i="14"/>
  <c r="J7" i="14"/>
  <c r="J8" i="14" s="1"/>
  <c r="F7" i="14"/>
  <c r="AC7" i="14"/>
  <c r="Y7" i="14"/>
  <c r="U7" i="14"/>
  <c r="Q7" i="14"/>
  <c r="Q8" i="14" s="1"/>
  <c r="M7" i="14"/>
  <c r="I7" i="14"/>
  <c r="AB7" i="14"/>
  <c r="AB8" i="14" s="1"/>
  <c r="X7" i="14"/>
  <c r="X8" i="14" s="1"/>
  <c r="T7" i="14"/>
  <c r="P7" i="14"/>
  <c r="L7" i="14"/>
  <c r="H7" i="14"/>
  <c r="H8" i="14" s="1"/>
  <c r="E20" i="14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O15" i="23"/>
  <c r="E17" i="10"/>
  <c r="F13" i="10" s="1"/>
  <c r="S14" i="23"/>
  <c r="S17" i="23"/>
  <c r="G14" i="23"/>
  <c r="G15" i="23"/>
  <c r="G17" i="23"/>
  <c r="G16" i="23"/>
  <c r="Q17" i="23"/>
  <c r="Q14" i="23"/>
  <c r="T14" i="23"/>
  <c r="T17" i="23"/>
  <c r="M17" i="23"/>
  <c r="M14" i="23"/>
  <c r="M16" i="23"/>
  <c r="M15" i="23"/>
  <c r="J14" i="23"/>
  <c r="J15" i="23"/>
  <c r="J16" i="23"/>
  <c r="J17" i="23"/>
  <c r="P4" i="9"/>
  <c r="O6" i="9"/>
  <c r="P6" i="23" s="1"/>
  <c r="P16" i="23" s="1"/>
  <c r="K8" i="14"/>
  <c r="AA8" i="14"/>
  <c r="U8" i="14"/>
  <c r="AC8" i="14"/>
  <c r="M8" i="14"/>
  <c r="T8" i="14"/>
  <c r="O8" i="14"/>
  <c r="R8" i="14"/>
  <c r="L8" i="14"/>
  <c r="N8" i="14"/>
  <c r="P8" i="14"/>
  <c r="S8" i="14"/>
  <c r="Z8" i="14"/>
  <c r="F8" i="14"/>
  <c r="G8" i="14"/>
  <c r="W8" i="14"/>
  <c r="Y8" i="14"/>
  <c r="I8" i="14"/>
  <c r="M12" i="12"/>
  <c r="P12" i="12"/>
  <c r="S12" i="12"/>
  <c r="Y12" i="12"/>
  <c r="I12" i="12"/>
  <c r="O12" i="12"/>
  <c r="AC12" i="12"/>
  <c r="V12" i="12"/>
  <c r="F12" i="12"/>
  <c r="R12" i="12"/>
  <c r="N12" i="12"/>
  <c r="J12" i="12"/>
  <c r="Z12" i="12"/>
  <c r="U12" i="12"/>
  <c r="E12" i="12"/>
  <c r="AB12" i="12"/>
  <c r="L12" i="12"/>
  <c r="AA12" i="12"/>
  <c r="K12" i="12"/>
  <c r="Z12" i="13"/>
  <c r="V12" i="13"/>
  <c r="R12" i="13"/>
  <c r="N12" i="13"/>
  <c r="J12" i="13"/>
  <c r="F12" i="13"/>
  <c r="W12" i="13"/>
  <c r="K12" i="13"/>
  <c r="G12" i="13"/>
  <c r="AC12" i="13"/>
  <c r="Y12" i="13"/>
  <c r="U12" i="13"/>
  <c r="Q12" i="13"/>
  <c r="M12" i="13"/>
  <c r="I12" i="13"/>
  <c r="E12" i="13"/>
  <c r="S12" i="13"/>
  <c r="AB12" i="13"/>
  <c r="X12" i="13"/>
  <c r="T12" i="13"/>
  <c r="P12" i="13"/>
  <c r="L12" i="13"/>
  <c r="H12" i="13"/>
  <c r="AA12" i="13"/>
  <c r="O12" i="13"/>
  <c r="Q12" i="12"/>
  <c r="X12" i="12"/>
  <c r="H12" i="12"/>
  <c r="W12" i="12"/>
  <c r="G12" i="12"/>
  <c r="D27" i="13"/>
  <c r="H11" i="14" l="1"/>
  <c r="G15" i="11" s="1"/>
  <c r="H14" i="14"/>
  <c r="G33" i="11" s="1"/>
  <c r="Q11" i="14"/>
  <c r="P15" i="11" s="1"/>
  <c r="Q14" i="14"/>
  <c r="P33" i="11" s="1"/>
  <c r="V11" i="14"/>
  <c r="U15" i="11" s="1"/>
  <c r="V14" i="14"/>
  <c r="U33" i="11" s="1"/>
  <c r="F20" i="24"/>
  <c r="E21" i="24"/>
  <c r="E22" i="24"/>
  <c r="E24" i="24"/>
  <c r="E23" i="24"/>
  <c r="X11" i="14"/>
  <c r="W15" i="11" s="1"/>
  <c r="X14" i="14"/>
  <c r="W33" i="11" s="1"/>
  <c r="AB11" i="14"/>
  <c r="AA15" i="11" s="1"/>
  <c r="AB14" i="14"/>
  <c r="AA33" i="11" s="1"/>
  <c r="J11" i="14"/>
  <c r="I15" i="11" s="1"/>
  <c r="J14" i="14"/>
  <c r="I33" i="11" s="1"/>
  <c r="Z11" i="14"/>
  <c r="Y15" i="11" s="1"/>
  <c r="Z14" i="14"/>
  <c r="Y33" i="11" s="1"/>
  <c r="T11" i="14"/>
  <c r="S15" i="11" s="1"/>
  <c r="T14" i="14"/>
  <c r="S33" i="11" s="1"/>
  <c r="AA11" i="14"/>
  <c r="Z15" i="11" s="1"/>
  <c r="AA14" i="14"/>
  <c r="Z33" i="11" s="1"/>
  <c r="Q4" i="9"/>
  <c r="P6" i="9"/>
  <c r="Q6" i="23" s="1"/>
  <c r="Q16" i="23" s="1"/>
  <c r="J21" i="23"/>
  <c r="X12" i="9"/>
  <c r="F22" i="23"/>
  <c r="Y11" i="14"/>
  <c r="X15" i="11" s="1"/>
  <c r="Y14" i="14"/>
  <c r="X33" i="11" s="1"/>
  <c r="S11" i="14"/>
  <c r="R15" i="11" s="1"/>
  <c r="S14" i="14"/>
  <c r="R33" i="11" s="1"/>
  <c r="O11" i="14"/>
  <c r="N15" i="11" s="1"/>
  <c r="O14" i="14"/>
  <c r="N33" i="11" s="1"/>
  <c r="F16" i="10"/>
  <c r="G7" i="24" s="1"/>
  <c r="G17" i="24" s="1"/>
  <c r="Q4" i="8"/>
  <c r="P8" i="8"/>
  <c r="Q5" i="23" s="1"/>
  <c r="Q15" i="23" s="1"/>
  <c r="W11" i="14"/>
  <c r="V15" i="11" s="1"/>
  <c r="W14" i="14"/>
  <c r="V33" i="11" s="1"/>
  <c r="L11" i="14"/>
  <c r="K15" i="11" s="1"/>
  <c r="L14" i="14"/>
  <c r="K33" i="11" s="1"/>
  <c r="M11" i="14"/>
  <c r="L15" i="11" s="1"/>
  <c r="M14" i="14"/>
  <c r="L33" i="11" s="1"/>
  <c r="I24" i="23"/>
  <c r="I13" i="8"/>
  <c r="H17" i="8"/>
  <c r="I5" i="24" s="1"/>
  <c r="I15" i="24" s="1"/>
  <c r="N24" i="23"/>
  <c r="H22" i="23"/>
  <c r="F21" i="23"/>
  <c r="F11" i="14"/>
  <c r="E15" i="11" s="1"/>
  <c r="F14" i="14"/>
  <c r="E33" i="11" s="1"/>
  <c r="N11" i="14"/>
  <c r="M15" i="11" s="1"/>
  <c r="N14" i="14"/>
  <c r="M33" i="11" s="1"/>
  <c r="U11" i="14"/>
  <c r="T15" i="11" s="1"/>
  <c r="U14" i="14"/>
  <c r="T33" i="11" s="1"/>
  <c r="H13" i="9"/>
  <c r="I11" i="9"/>
  <c r="I11" i="14"/>
  <c r="H15" i="11" s="1"/>
  <c r="I14" i="14"/>
  <c r="H33" i="11" s="1"/>
  <c r="G11" i="14"/>
  <c r="F15" i="11" s="1"/>
  <c r="G14" i="14"/>
  <c r="F33" i="11" s="1"/>
  <c r="P11" i="14"/>
  <c r="O15" i="11" s="1"/>
  <c r="P14" i="14"/>
  <c r="O33" i="11" s="1"/>
  <c r="R11" i="14"/>
  <c r="Q15" i="11" s="1"/>
  <c r="R14" i="14"/>
  <c r="Q33" i="11" s="1"/>
  <c r="AC11" i="14"/>
  <c r="AB15" i="11" s="1"/>
  <c r="AC14" i="14"/>
  <c r="AB33" i="11" s="1"/>
  <c r="K11" i="14"/>
  <c r="J15" i="11" s="1"/>
  <c r="K14" i="14"/>
  <c r="J33" i="11" s="1"/>
  <c r="M23" i="23"/>
  <c r="I22" i="23"/>
  <c r="M12" i="9"/>
  <c r="L21" i="23"/>
  <c r="H6" i="24"/>
  <c r="H16" i="24" s="1"/>
  <c r="G14" i="10"/>
  <c r="F24" i="23"/>
  <c r="E11" i="14"/>
  <c r="D15" i="11" s="1"/>
  <c r="E14" i="14"/>
  <c r="D33" i="11" s="1"/>
  <c r="E20" i="23"/>
  <c r="F20" i="23" s="1"/>
  <c r="G20" i="23" s="1"/>
  <c r="H20" i="23" s="1"/>
  <c r="I20" i="23" s="1"/>
  <c r="J20" i="23" s="1"/>
  <c r="K20" i="23" s="1"/>
  <c r="L20" i="23" s="1"/>
  <c r="M20" i="23" s="1"/>
  <c r="N20" i="23" s="1"/>
  <c r="D27" i="12"/>
  <c r="P17" i="13"/>
  <c r="P24" i="13" s="1"/>
  <c r="Q17" i="13"/>
  <c r="Z17" i="13"/>
  <c r="AA17" i="13"/>
  <c r="AA24" i="13" s="1"/>
  <c r="U17" i="13"/>
  <c r="N17" i="13"/>
  <c r="N24" i="13" s="1"/>
  <c r="X17" i="13"/>
  <c r="Y17" i="13"/>
  <c r="Y24" i="13" s="1"/>
  <c r="W17" i="13"/>
  <c r="W24" i="13" s="1"/>
  <c r="R17" i="13"/>
  <c r="O17" i="13"/>
  <c r="O24" i="13" s="1"/>
  <c r="S17" i="13"/>
  <c r="T17" i="13"/>
  <c r="AB17" i="13"/>
  <c r="M17" i="13"/>
  <c r="AC17" i="13"/>
  <c r="V17" i="13"/>
  <c r="H14" i="10" l="1"/>
  <c r="I6" i="24"/>
  <c r="I16" i="24" s="1"/>
  <c r="N12" i="9"/>
  <c r="J23" i="23"/>
  <c r="H24" i="23"/>
  <c r="J22" i="23"/>
  <c r="L22" i="23"/>
  <c r="M22" i="23"/>
  <c r="R4" i="8"/>
  <c r="Q8" i="8"/>
  <c r="R5" i="23" s="1"/>
  <c r="R15" i="23" s="1"/>
  <c r="M21" i="23"/>
  <c r="H23" i="23"/>
  <c r="G21" i="23"/>
  <c r="G22" i="23"/>
  <c r="G20" i="24"/>
  <c r="F21" i="24"/>
  <c r="F22" i="24"/>
  <c r="F24" i="24"/>
  <c r="F23" i="24"/>
  <c r="G24" i="24"/>
  <c r="Y12" i="9"/>
  <c r="O20" i="23"/>
  <c r="N22" i="23"/>
  <c r="N23" i="23"/>
  <c r="H21" i="23"/>
  <c r="K22" i="23"/>
  <c r="G24" i="23"/>
  <c r="F23" i="23"/>
  <c r="J13" i="8"/>
  <c r="I17" i="8"/>
  <c r="J5" i="24" s="1"/>
  <c r="J15" i="24" s="1"/>
  <c r="J24" i="23"/>
  <c r="I21" i="23"/>
  <c r="L23" i="23"/>
  <c r="K24" i="23"/>
  <c r="R4" i="9"/>
  <c r="Q6" i="9"/>
  <c r="R6" i="23" s="1"/>
  <c r="R16" i="23" s="1"/>
  <c r="L24" i="23"/>
  <c r="J11" i="9"/>
  <c r="I13" i="9"/>
  <c r="K23" i="23"/>
  <c r="G23" i="23"/>
  <c r="K21" i="23"/>
  <c r="F17" i="10"/>
  <c r="G13" i="10" s="1"/>
  <c r="N21" i="23"/>
  <c r="I23" i="23"/>
  <c r="M24" i="23"/>
  <c r="AC24" i="13"/>
  <c r="E22" i="23"/>
  <c r="E24" i="23"/>
  <c r="E23" i="23"/>
  <c r="E21" i="23"/>
  <c r="M24" i="13"/>
  <c r="R24" i="13"/>
  <c r="AB24" i="13"/>
  <c r="U24" i="13"/>
  <c r="T24" i="13"/>
  <c r="Q24" i="13"/>
  <c r="V24" i="13"/>
  <c r="S24" i="13"/>
  <c r="Z24" i="13"/>
  <c r="X24" i="13"/>
  <c r="K11" i="9" l="1"/>
  <c r="J13" i="9"/>
  <c r="R6" i="9"/>
  <c r="S6" i="23" s="1"/>
  <c r="S16" i="23" s="1"/>
  <c r="S4" i="9"/>
  <c r="Z12" i="9"/>
  <c r="J6" i="24"/>
  <c r="J16" i="24" s="1"/>
  <c r="I14" i="10"/>
  <c r="P20" i="23"/>
  <c r="O24" i="23"/>
  <c r="O21" i="23"/>
  <c r="O22" i="23"/>
  <c r="O23" i="23"/>
  <c r="G16" i="10"/>
  <c r="H7" i="24" s="1"/>
  <c r="H17" i="24" s="1"/>
  <c r="G17" i="10"/>
  <c r="H13" i="10" s="1"/>
  <c r="K13" i="8"/>
  <c r="J17" i="8"/>
  <c r="K5" i="24" s="1"/>
  <c r="K15" i="24" s="1"/>
  <c r="H20" i="24"/>
  <c r="G21" i="24"/>
  <c r="G22" i="24"/>
  <c r="G23" i="24"/>
  <c r="S4" i="8"/>
  <c r="R8" i="8"/>
  <c r="S5" i="23" s="1"/>
  <c r="S15" i="23" s="1"/>
  <c r="O12" i="9"/>
  <c r="K24" i="10"/>
  <c r="K33" i="10" s="1"/>
  <c r="G24" i="10"/>
  <c r="G33" i="10" s="1"/>
  <c r="I24" i="10"/>
  <c r="I33" i="10" s="1"/>
  <c r="J24" i="10"/>
  <c r="J33" i="10" s="1"/>
  <c r="H24" i="10"/>
  <c r="H33" i="10" s="1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B32" i="8"/>
  <c r="AA32" i="8"/>
  <c r="Z32" i="8"/>
  <c r="Y32" i="8"/>
  <c r="Y34" i="8" s="1"/>
  <c r="X32" i="8"/>
  <c r="W32" i="8"/>
  <c r="V32" i="8"/>
  <c r="U32" i="8"/>
  <c r="U34" i="8" s="1"/>
  <c r="T32" i="8"/>
  <c r="S32" i="8"/>
  <c r="R32" i="8"/>
  <c r="Q32" i="8"/>
  <c r="Q34" i="8" s="1"/>
  <c r="P32" i="8"/>
  <c r="O32" i="8"/>
  <c r="N32" i="8"/>
  <c r="M32" i="8"/>
  <c r="M34" i="8" s="1"/>
  <c r="L32" i="8"/>
  <c r="K32" i="8"/>
  <c r="J32" i="8"/>
  <c r="I32" i="8"/>
  <c r="I34" i="8" s="1"/>
  <c r="H32" i="8"/>
  <c r="G32" i="8"/>
  <c r="F32" i="8"/>
  <c r="E32" i="8"/>
  <c r="E34" i="8" s="1"/>
  <c r="D32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B23" i="8"/>
  <c r="AA23" i="8"/>
  <c r="AA25" i="8" s="1"/>
  <c r="Z23" i="8"/>
  <c r="Y23" i="8"/>
  <c r="X23" i="8"/>
  <c r="W23" i="8"/>
  <c r="W25" i="8" s="1"/>
  <c r="V23" i="8"/>
  <c r="U23" i="8"/>
  <c r="T23" i="8"/>
  <c r="S23" i="8"/>
  <c r="S25" i="8" s="1"/>
  <c r="R23" i="8"/>
  <c r="Q23" i="8"/>
  <c r="P23" i="8"/>
  <c r="O23" i="8"/>
  <c r="O25" i="8" s="1"/>
  <c r="N23" i="8"/>
  <c r="M23" i="8"/>
  <c r="L23" i="8"/>
  <c r="K23" i="8"/>
  <c r="K25" i="8" s="1"/>
  <c r="J23" i="8"/>
  <c r="I23" i="8"/>
  <c r="H23" i="8"/>
  <c r="G23" i="8"/>
  <c r="G25" i="8" s="1"/>
  <c r="F23" i="8"/>
  <c r="E23" i="8"/>
  <c r="D23" i="8"/>
  <c r="F20" i="1"/>
  <c r="I34" i="7"/>
  <c r="I32" i="7"/>
  <c r="I30" i="7"/>
  <c r="I28" i="7"/>
  <c r="D19" i="7"/>
  <c r="D22" i="7" s="1"/>
  <c r="H35" i="7"/>
  <c r="G35" i="7"/>
  <c r="F35" i="7"/>
  <c r="E35" i="7"/>
  <c r="H33" i="7"/>
  <c r="G33" i="7"/>
  <c r="F33" i="7"/>
  <c r="E33" i="7"/>
  <c r="H31" i="7"/>
  <c r="G31" i="7"/>
  <c r="F31" i="7"/>
  <c r="E31" i="7"/>
  <c r="H29" i="7"/>
  <c r="G29" i="7"/>
  <c r="F29" i="7"/>
  <c r="E29" i="7"/>
  <c r="D35" i="6"/>
  <c r="D39" i="6" s="1"/>
  <c r="H36" i="6"/>
  <c r="H35" i="6"/>
  <c r="H26" i="6"/>
  <c r="H25" i="6"/>
  <c r="D25" i="6"/>
  <c r="D29" i="6" s="1"/>
  <c r="F17" i="1"/>
  <c r="F16" i="1" s="1"/>
  <c r="AA12" i="9" l="1"/>
  <c r="T4" i="8"/>
  <c r="S8" i="8"/>
  <c r="T5" i="23" s="1"/>
  <c r="T15" i="23" s="1"/>
  <c r="I20" i="24"/>
  <c r="H21" i="24"/>
  <c r="H22" i="24"/>
  <c r="H23" i="24"/>
  <c r="H16" i="10"/>
  <c r="I7" i="24" s="1"/>
  <c r="I17" i="24" s="1"/>
  <c r="I24" i="24" s="1"/>
  <c r="Q20" i="23"/>
  <c r="P23" i="23"/>
  <c r="P24" i="23"/>
  <c r="P21" i="23"/>
  <c r="P22" i="23"/>
  <c r="T4" i="9"/>
  <c r="S6" i="9"/>
  <c r="T6" i="23" s="1"/>
  <c r="T16" i="23" s="1"/>
  <c r="H24" i="24"/>
  <c r="L11" i="9"/>
  <c r="K13" i="9"/>
  <c r="L6" i="24" s="1"/>
  <c r="L16" i="24" s="1"/>
  <c r="L13" i="8"/>
  <c r="K17" i="8"/>
  <c r="L5" i="24" s="1"/>
  <c r="L15" i="24" s="1"/>
  <c r="K6" i="24"/>
  <c r="K16" i="24" s="1"/>
  <c r="J14" i="10"/>
  <c r="I31" i="7"/>
  <c r="I33" i="7"/>
  <c r="D34" i="8"/>
  <c r="F13" i="1" s="1"/>
  <c r="H34" i="8"/>
  <c r="L34" i="8"/>
  <c r="P34" i="8"/>
  <c r="T34" i="8"/>
  <c r="X34" i="8"/>
  <c r="AB34" i="8"/>
  <c r="G34" i="8"/>
  <c r="O34" i="8"/>
  <c r="W34" i="8"/>
  <c r="D25" i="8"/>
  <c r="H25" i="8"/>
  <c r="L25" i="8"/>
  <c r="P25" i="8"/>
  <c r="T25" i="8"/>
  <c r="X25" i="8"/>
  <c r="AB25" i="8"/>
  <c r="F34" i="8"/>
  <c r="J34" i="8"/>
  <c r="N34" i="8"/>
  <c r="R34" i="8"/>
  <c r="V34" i="8"/>
  <c r="Z34" i="8"/>
  <c r="E25" i="8"/>
  <c r="I25" i="8"/>
  <c r="M25" i="8"/>
  <c r="Q25" i="8"/>
  <c r="U25" i="8"/>
  <c r="Y25" i="8"/>
  <c r="K34" i="8"/>
  <c r="S34" i="8"/>
  <c r="AA34" i="8"/>
  <c r="G27" i="6"/>
  <c r="D18" i="9" s="1"/>
  <c r="D24" i="7"/>
  <c r="F22" i="7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E22" i="7"/>
  <c r="E24" i="7" s="1"/>
  <c r="F25" i="8"/>
  <c r="J25" i="8"/>
  <c r="N25" i="8"/>
  <c r="R25" i="8"/>
  <c r="V25" i="8"/>
  <c r="Z25" i="8"/>
  <c r="I29" i="7"/>
  <c r="I35" i="7"/>
  <c r="G37" i="6"/>
  <c r="D25" i="9" s="1"/>
  <c r="M11" i="9" l="1"/>
  <c r="L13" i="9"/>
  <c r="M6" i="24" s="1"/>
  <c r="M16" i="24" s="1"/>
  <c r="U4" i="9"/>
  <c r="T6" i="9"/>
  <c r="U6" i="23" s="1"/>
  <c r="U16" i="23" s="1"/>
  <c r="J20" i="24"/>
  <c r="I21" i="24"/>
  <c r="I22" i="24"/>
  <c r="I23" i="24"/>
  <c r="M13" i="8"/>
  <c r="L17" i="8"/>
  <c r="M5" i="24" s="1"/>
  <c r="M15" i="24" s="1"/>
  <c r="AB12" i="9"/>
  <c r="D42" i="11"/>
  <c r="D43" i="11"/>
  <c r="R20" i="23"/>
  <c r="Q21" i="23"/>
  <c r="Q24" i="23"/>
  <c r="Q23" i="23"/>
  <c r="Q22" i="23"/>
  <c r="U4" i="8"/>
  <c r="T8" i="8"/>
  <c r="U5" i="23" s="1"/>
  <c r="U15" i="23" s="1"/>
  <c r="E43" i="11"/>
  <c r="E42" i="11"/>
  <c r="H17" i="10"/>
  <c r="I13" i="10" s="1"/>
  <c r="D61" i="11"/>
  <c r="D60" i="11"/>
  <c r="E60" i="11"/>
  <c r="E61" i="11"/>
  <c r="F24" i="7"/>
  <c r="G36" i="6"/>
  <c r="D31" i="8" s="1"/>
  <c r="E13" i="1"/>
  <c r="E4" i="12"/>
  <c r="E14" i="12" s="1"/>
  <c r="E21" i="12" s="1"/>
  <c r="G24" i="7"/>
  <c r="E4" i="13"/>
  <c r="E14" i="13" s="1"/>
  <c r="E21" i="13" s="1"/>
  <c r="F4" i="13"/>
  <c r="F14" i="13" s="1"/>
  <c r="F21" i="13" s="1"/>
  <c r="F4" i="12"/>
  <c r="F14" i="12" s="1"/>
  <c r="F21" i="12" s="1"/>
  <c r="G35" i="6"/>
  <c r="D31" i="10" s="1"/>
  <c r="H24" i="7"/>
  <c r="H4" i="12" l="1"/>
  <c r="H14" i="12" s="1"/>
  <c r="H21" i="12" s="1"/>
  <c r="G42" i="11"/>
  <c r="G43" i="11"/>
  <c r="F42" i="11"/>
  <c r="F43" i="11"/>
  <c r="S20" i="23"/>
  <c r="R21" i="23"/>
  <c r="R24" i="23"/>
  <c r="R23" i="23"/>
  <c r="R22" i="23"/>
  <c r="N11" i="9"/>
  <c r="M13" i="9"/>
  <c r="N6" i="24" s="1"/>
  <c r="N16" i="24" s="1"/>
  <c r="I16" i="10"/>
  <c r="J7" i="24" s="1"/>
  <c r="J17" i="24" s="1"/>
  <c r="J24" i="24" s="1"/>
  <c r="I17" i="10"/>
  <c r="J13" i="10" s="1"/>
  <c r="U6" i="9"/>
  <c r="V6" i="23" s="1"/>
  <c r="V16" i="23" s="1"/>
  <c r="V4" i="9"/>
  <c r="H42" i="11"/>
  <c r="H43" i="11"/>
  <c r="K20" i="24"/>
  <c r="J21" i="24"/>
  <c r="J22" i="24"/>
  <c r="J23" i="24"/>
  <c r="V4" i="8"/>
  <c r="U8" i="8"/>
  <c r="V5" i="23" s="1"/>
  <c r="V15" i="23" s="1"/>
  <c r="N13" i="8"/>
  <c r="M17" i="8"/>
  <c r="N5" i="24" s="1"/>
  <c r="N15" i="24" s="1"/>
  <c r="F61" i="11"/>
  <c r="F60" i="11"/>
  <c r="H61" i="11"/>
  <c r="H60" i="11"/>
  <c r="G4" i="12"/>
  <c r="G14" i="12" s="1"/>
  <c r="G21" i="12" s="1"/>
  <c r="G4" i="13"/>
  <c r="G14" i="13" s="1"/>
  <c r="G21" i="13" s="1"/>
  <c r="G61" i="11"/>
  <c r="G60" i="11"/>
  <c r="H4" i="13"/>
  <c r="H14" i="13" s="1"/>
  <c r="H21" i="13" s="1"/>
  <c r="D34" i="10"/>
  <c r="E7" i="13" s="1"/>
  <c r="E17" i="13" s="1"/>
  <c r="E24" i="13" s="1"/>
  <c r="D27" i="9"/>
  <c r="E25" i="9"/>
  <c r="E31" i="8"/>
  <c r="D35" i="8"/>
  <c r="E5" i="13" s="1"/>
  <c r="E15" i="13" s="1"/>
  <c r="E22" i="13" s="1"/>
  <c r="G26" i="6"/>
  <c r="D22" i="8" s="1"/>
  <c r="G25" i="6"/>
  <c r="D22" i="10" s="1"/>
  <c r="D20" i="9"/>
  <c r="D23" i="10" s="1"/>
  <c r="I4" i="13"/>
  <c r="I14" i="13" s="1"/>
  <c r="I21" i="13" s="1"/>
  <c r="I4" i="12"/>
  <c r="I14" i="12" s="1"/>
  <c r="I21" i="12" s="1"/>
  <c r="I24" i="7"/>
  <c r="W4" i="8" l="1"/>
  <c r="V8" i="8"/>
  <c r="W5" i="23" s="1"/>
  <c r="W15" i="23" s="1"/>
  <c r="J16" i="10"/>
  <c r="K7" i="24" s="1"/>
  <c r="K17" i="24" s="1"/>
  <c r="K24" i="24" s="1"/>
  <c r="J17" i="10"/>
  <c r="K13" i="10" s="1"/>
  <c r="T20" i="23"/>
  <c r="S24" i="23"/>
  <c r="S21" i="23"/>
  <c r="S23" i="23"/>
  <c r="S22" i="23"/>
  <c r="O13" i="8"/>
  <c r="N17" i="8"/>
  <c r="O5" i="24" s="1"/>
  <c r="O15" i="24" s="1"/>
  <c r="L20" i="24"/>
  <c r="K21" i="24"/>
  <c r="K22" i="24"/>
  <c r="K23" i="24"/>
  <c r="I43" i="11"/>
  <c r="I42" i="11"/>
  <c r="V6" i="9"/>
  <c r="W6" i="23" s="1"/>
  <c r="W16" i="23" s="1"/>
  <c r="W4" i="9"/>
  <c r="O11" i="9"/>
  <c r="N13" i="9"/>
  <c r="O6" i="24" s="1"/>
  <c r="O16" i="24" s="1"/>
  <c r="I60" i="11"/>
  <c r="I61" i="11"/>
  <c r="E6" i="13"/>
  <c r="E16" i="13" s="1"/>
  <c r="E23" i="13" s="1"/>
  <c r="D32" i="10"/>
  <c r="D35" i="10" s="1"/>
  <c r="E31" i="10" s="1"/>
  <c r="E34" i="10" s="1"/>
  <c r="F7" i="13" s="1"/>
  <c r="F17" i="13" s="1"/>
  <c r="F24" i="13" s="1"/>
  <c r="D25" i="10"/>
  <c r="D26" i="10" s="1"/>
  <c r="F31" i="8"/>
  <c r="E35" i="8"/>
  <c r="F5" i="13" s="1"/>
  <c r="F15" i="13" s="1"/>
  <c r="F22" i="13" s="1"/>
  <c r="F25" i="9"/>
  <c r="E27" i="9"/>
  <c r="E18" i="9"/>
  <c r="E22" i="8"/>
  <c r="D26" i="8"/>
  <c r="E5" i="12" s="1"/>
  <c r="E15" i="12" s="1"/>
  <c r="E22" i="12" s="1"/>
  <c r="J4" i="12"/>
  <c r="J14" i="12" s="1"/>
  <c r="J21" i="12" s="1"/>
  <c r="J4" i="13"/>
  <c r="J14" i="13" s="1"/>
  <c r="J21" i="13" s="1"/>
  <c r="J24" i="7"/>
  <c r="K14" i="10" l="1"/>
  <c r="K16" i="10"/>
  <c r="L7" i="24" s="1"/>
  <c r="L17" i="24" s="1"/>
  <c r="L24" i="24" s="1"/>
  <c r="K17" i="10"/>
  <c r="L13" i="10" s="1"/>
  <c r="L14" i="10" s="1"/>
  <c r="W6" i="9"/>
  <c r="X6" i="23" s="1"/>
  <c r="X16" i="23" s="1"/>
  <c r="X4" i="9"/>
  <c r="M20" i="24"/>
  <c r="L21" i="24"/>
  <c r="L22" i="24"/>
  <c r="L23" i="24"/>
  <c r="U20" i="23"/>
  <c r="T21" i="23"/>
  <c r="T24" i="23"/>
  <c r="T22" i="23"/>
  <c r="T23" i="23"/>
  <c r="P11" i="9"/>
  <c r="O13" i="9"/>
  <c r="P6" i="24" s="1"/>
  <c r="P16" i="24" s="1"/>
  <c r="P13" i="8"/>
  <c r="O17" i="8"/>
  <c r="P5" i="24" s="1"/>
  <c r="P15" i="24" s="1"/>
  <c r="J42" i="11"/>
  <c r="J43" i="11"/>
  <c r="X4" i="8"/>
  <c r="W8" i="8"/>
  <c r="X5" i="23" s="1"/>
  <c r="X15" i="23" s="1"/>
  <c r="J61" i="11"/>
  <c r="J60" i="11"/>
  <c r="F6" i="13"/>
  <c r="F16" i="13" s="1"/>
  <c r="F23" i="13" s="1"/>
  <c r="E32" i="10"/>
  <c r="E35" i="10" s="1"/>
  <c r="F31" i="10" s="1"/>
  <c r="F34" i="10" s="1"/>
  <c r="G7" i="13" s="1"/>
  <c r="G17" i="13" s="1"/>
  <c r="G24" i="13" s="1"/>
  <c r="F27" i="9"/>
  <c r="G25" i="9"/>
  <c r="G31" i="8"/>
  <c r="F35" i="8"/>
  <c r="G5" i="13" s="1"/>
  <c r="E22" i="10"/>
  <c r="F18" i="9"/>
  <c r="E20" i="9"/>
  <c r="E23" i="10" s="1"/>
  <c r="E6" i="12"/>
  <c r="E16" i="12" s="1"/>
  <c r="E23" i="12" s="1"/>
  <c r="F22" i="8"/>
  <c r="E26" i="8"/>
  <c r="F5" i="12" s="1"/>
  <c r="F15" i="12" s="1"/>
  <c r="F22" i="12" s="1"/>
  <c r="K4" i="12"/>
  <c r="K14" i="12" s="1"/>
  <c r="K21" i="12" s="1"/>
  <c r="K4" i="13"/>
  <c r="K14" i="13" s="1"/>
  <c r="K21" i="13" s="1"/>
  <c r="K24" i="7"/>
  <c r="K43" i="11" l="1"/>
  <c r="K42" i="11"/>
  <c r="Q13" i="8"/>
  <c r="P17" i="8"/>
  <c r="Q5" i="24" s="1"/>
  <c r="Q15" i="24" s="1"/>
  <c r="Q11" i="9"/>
  <c r="P13" i="9"/>
  <c r="Q6" i="24" s="1"/>
  <c r="Q16" i="24" s="1"/>
  <c r="V20" i="23"/>
  <c r="U24" i="23"/>
  <c r="U21" i="23"/>
  <c r="U22" i="23"/>
  <c r="U23" i="23"/>
  <c r="N20" i="24"/>
  <c r="M24" i="24"/>
  <c r="M21" i="24"/>
  <c r="M23" i="24"/>
  <c r="M22" i="24"/>
  <c r="Y4" i="8"/>
  <c r="X8" i="8"/>
  <c r="Y5" i="23" s="1"/>
  <c r="Y15" i="23" s="1"/>
  <c r="X6" i="9"/>
  <c r="Y6" i="23" s="1"/>
  <c r="Y16" i="23" s="1"/>
  <c r="Y4" i="9"/>
  <c r="K60" i="11"/>
  <c r="K61" i="11"/>
  <c r="G15" i="13"/>
  <c r="G22" i="13" s="1"/>
  <c r="F6" i="12"/>
  <c r="F16" i="12" s="1"/>
  <c r="F23" i="12" s="1"/>
  <c r="G6" i="13"/>
  <c r="G16" i="13" s="1"/>
  <c r="G23" i="13" s="1"/>
  <c r="F32" i="10"/>
  <c r="F35" i="10" s="1"/>
  <c r="G31" i="10" s="1"/>
  <c r="G34" i="10" s="1"/>
  <c r="H7" i="13" s="1"/>
  <c r="H17" i="13" s="1"/>
  <c r="H24" i="13" s="1"/>
  <c r="E25" i="10"/>
  <c r="E26" i="10" s="1"/>
  <c r="F22" i="10" s="1"/>
  <c r="F25" i="10" s="1"/>
  <c r="H31" i="8"/>
  <c r="G35" i="8"/>
  <c r="H5" i="13" s="1"/>
  <c r="H15" i="13" s="1"/>
  <c r="H22" i="13" s="1"/>
  <c r="H25" i="9"/>
  <c r="G27" i="9"/>
  <c r="E7" i="12"/>
  <c r="E17" i="12" s="1"/>
  <c r="E24" i="12" s="1"/>
  <c r="G18" i="9"/>
  <c r="F20" i="9"/>
  <c r="F23" i="10" s="1"/>
  <c r="G22" i="8"/>
  <c r="F26" i="8"/>
  <c r="G5" i="12" s="1"/>
  <c r="G15" i="12" s="1"/>
  <c r="G22" i="12" s="1"/>
  <c r="L4" i="13"/>
  <c r="L14" i="13" s="1"/>
  <c r="L21" i="13" s="1"/>
  <c r="L4" i="12"/>
  <c r="L14" i="12" s="1"/>
  <c r="L21" i="12" s="1"/>
  <c r="L24" i="7"/>
  <c r="O20" i="24" l="1"/>
  <c r="N24" i="24"/>
  <c r="N21" i="24"/>
  <c r="N22" i="24"/>
  <c r="N23" i="24"/>
  <c r="R11" i="9"/>
  <c r="Q13" i="9"/>
  <c r="R6" i="24" s="1"/>
  <c r="R16" i="24" s="1"/>
  <c r="Z4" i="9"/>
  <c r="Y6" i="9"/>
  <c r="Z6" i="23" s="1"/>
  <c r="Z16" i="23" s="1"/>
  <c r="W20" i="23"/>
  <c r="V24" i="23"/>
  <c r="V21" i="23"/>
  <c r="V22" i="23"/>
  <c r="V23" i="23"/>
  <c r="L42" i="11"/>
  <c r="L43" i="11"/>
  <c r="Z4" i="8"/>
  <c r="Y8" i="8"/>
  <c r="Z5" i="23" s="1"/>
  <c r="Z15" i="23" s="1"/>
  <c r="R13" i="8"/>
  <c r="Q17" i="8"/>
  <c r="R5" i="24" s="1"/>
  <c r="R15" i="24" s="1"/>
  <c r="L61" i="11"/>
  <c r="L60" i="11"/>
  <c r="F26" i="10"/>
  <c r="F7" i="12"/>
  <c r="F17" i="12" s="1"/>
  <c r="F24" i="12" s="1"/>
  <c r="H6" i="13"/>
  <c r="H16" i="13" s="1"/>
  <c r="H23" i="13" s="1"/>
  <c r="G32" i="10"/>
  <c r="G35" i="10" s="1"/>
  <c r="H31" i="10" s="1"/>
  <c r="H34" i="10" s="1"/>
  <c r="I7" i="13" s="1"/>
  <c r="I17" i="13" s="1"/>
  <c r="I24" i="13" s="1"/>
  <c r="I25" i="9"/>
  <c r="H27" i="9"/>
  <c r="I31" i="8"/>
  <c r="H35" i="8"/>
  <c r="I5" i="13" s="1"/>
  <c r="I15" i="13" s="1"/>
  <c r="I22" i="13" s="1"/>
  <c r="G6" i="12"/>
  <c r="G16" i="12" s="1"/>
  <c r="G23" i="12" s="1"/>
  <c r="H18" i="9"/>
  <c r="G20" i="9"/>
  <c r="G23" i="10" s="1"/>
  <c r="H22" i="8"/>
  <c r="G26" i="8"/>
  <c r="H5" i="12" s="1"/>
  <c r="H15" i="12" s="1"/>
  <c r="H22" i="12" s="1"/>
  <c r="M4" i="13"/>
  <c r="M14" i="13" s="1"/>
  <c r="M21" i="13" s="1"/>
  <c r="M4" i="12"/>
  <c r="M14" i="12" s="1"/>
  <c r="M21" i="12" s="1"/>
  <c r="M24" i="7"/>
  <c r="S13" i="8" l="1"/>
  <c r="R17" i="8"/>
  <c r="S5" i="24" s="1"/>
  <c r="S15" i="24" s="1"/>
  <c r="S11" i="9"/>
  <c r="R13" i="9"/>
  <c r="S6" i="24" s="1"/>
  <c r="S16" i="24" s="1"/>
  <c r="X20" i="23"/>
  <c r="W21" i="23"/>
  <c r="W24" i="23"/>
  <c r="W23" i="23"/>
  <c r="W22" i="23"/>
  <c r="M43" i="11"/>
  <c r="M42" i="11"/>
  <c r="P20" i="24"/>
  <c r="O24" i="24"/>
  <c r="O21" i="24"/>
  <c r="O22" i="24"/>
  <c r="O23" i="24"/>
  <c r="AA4" i="8"/>
  <c r="Z8" i="8"/>
  <c r="AA5" i="23" s="1"/>
  <c r="AA15" i="23" s="1"/>
  <c r="AA4" i="9"/>
  <c r="Z6" i="9"/>
  <c r="AA6" i="23" s="1"/>
  <c r="AA16" i="23" s="1"/>
  <c r="H6" i="12"/>
  <c r="H16" i="12" s="1"/>
  <c r="H23" i="12" s="1"/>
  <c r="M60" i="11"/>
  <c r="M61" i="11"/>
  <c r="I6" i="13"/>
  <c r="H32" i="10"/>
  <c r="H35" i="10" s="1"/>
  <c r="I31" i="10" s="1"/>
  <c r="J31" i="8"/>
  <c r="I35" i="8"/>
  <c r="J5" i="13" s="1"/>
  <c r="J15" i="13" s="1"/>
  <c r="J22" i="13" s="1"/>
  <c r="J25" i="9"/>
  <c r="I27" i="9"/>
  <c r="G22" i="10"/>
  <c r="G7" i="12"/>
  <c r="G17" i="12" s="1"/>
  <c r="G24" i="12" s="1"/>
  <c r="I18" i="9"/>
  <c r="H20" i="9"/>
  <c r="I22" i="8"/>
  <c r="H26" i="8"/>
  <c r="I5" i="12" s="1"/>
  <c r="I15" i="12" s="1"/>
  <c r="I22" i="12" s="1"/>
  <c r="N4" i="12"/>
  <c r="N14" i="12" s="1"/>
  <c r="N21" i="12" s="1"/>
  <c r="N4" i="13"/>
  <c r="N14" i="13" s="1"/>
  <c r="N21" i="13" s="1"/>
  <c r="N24" i="7"/>
  <c r="AB4" i="9" l="1"/>
  <c r="AB6" i="9" s="1"/>
  <c r="AC6" i="23" s="1"/>
  <c r="AC16" i="23" s="1"/>
  <c r="AA6" i="9"/>
  <c r="AB6" i="23" s="1"/>
  <c r="AB16" i="23" s="1"/>
  <c r="Y20" i="23"/>
  <c r="X24" i="23"/>
  <c r="X21" i="23"/>
  <c r="X22" i="23"/>
  <c r="X23" i="23"/>
  <c r="T11" i="9"/>
  <c r="S13" i="9"/>
  <c r="T6" i="24" s="1"/>
  <c r="T16" i="24" s="1"/>
  <c r="N42" i="11"/>
  <c r="N43" i="11"/>
  <c r="T13" i="8"/>
  <c r="S17" i="8"/>
  <c r="T5" i="24" s="1"/>
  <c r="T15" i="24" s="1"/>
  <c r="Q20" i="24"/>
  <c r="P24" i="24"/>
  <c r="P21" i="24"/>
  <c r="P22" i="24"/>
  <c r="P23" i="24"/>
  <c r="AB4" i="8"/>
  <c r="AB8" i="8" s="1"/>
  <c r="AC5" i="23" s="1"/>
  <c r="AC15" i="23" s="1"/>
  <c r="AA8" i="8"/>
  <c r="AB5" i="23" s="1"/>
  <c r="AB15" i="23" s="1"/>
  <c r="N61" i="11"/>
  <c r="N60" i="11"/>
  <c r="I34" i="10"/>
  <c r="J7" i="13" s="1"/>
  <c r="J17" i="13" s="1"/>
  <c r="J24" i="13" s="1"/>
  <c r="I16" i="13"/>
  <c r="I23" i="13" s="1"/>
  <c r="J6" i="13"/>
  <c r="J16" i="13" s="1"/>
  <c r="J23" i="13" s="1"/>
  <c r="I32" i="10"/>
  <c r="G25" i="10"/>
  <c r="G26" i="10" s="1"/>
  <c r="H22" i="10" s="1"/>
  <c r="K25" i="9"/>
  <c r="J27" i="9"/>
  <c r="K31" i="8"/>
  <c r="J35" i="8"/>
  <c r="K5" i="13" s="1"/>
  <c r="K15" i="13" s="1"/>
  <c r="K22" i="13" s="1"/>
  <c r="I6" i="12"/>
  <c r="I16" i="12" s="1"/>
  <c r="I23" i="12" s="1"/>
  <c r="H23" i="10"/>
  <c r="J18" i="9"/>
  <c r="I20" i="9"/>
  <c r="J22" i="8"/>
  <c r="I26" i="8"/>
  <c r="J5" i="12" s="1"/>
  <c r="J15" i="12" s="1"/>
  <c r="J22" i="12" s="1"/>
  <c r="O4" i="12"/>
  <c r="O14" i="12" s="1"/>
  <c r="O21" i="12" s="1"/>
  <c r="O4" i="13"/>
  <c r="O14" i="13" s="1"/>
  <c r="O21" i="13" s="1"/>
  <c r="O24" i="7"/>
  <c r="Z20" i="23" l="1"/>
  <c r="Y21" i="23"/>
  <c r="Y24" i="23"/>
  <c r="Y23" i="23"/>
  <c r="Y22" i="23"/>
  <c r="U13" i="8"/>
  <c r="T17" i="8"/>
  <c r="U5" i="24" s="1"/>
  <c r="U15" i="24" s="1"/>
  <c r="O43" i="11"/>
  <c r="O42" i="11"/>
  <c r="R20" i="24"/>
  <c r="Q24" i="24"/>
  <c r="Q21" i="24"/>
  <c r="Q22" i="24"/>
  <c r="Q23" i="24"/>
  <c r="U11" i="9"/>
  <c r="T13" i="9"/>
  <c r="U6" i="24" s="1"/>
  <c r="U16" i="24" s="1"/>
  <c r="O61" i="11"/>
  <c r="O60" i="11"/>
  <c r="I35" i="10"/>
  <c r="J31" i="10" s="1"/>
  <c r="J34" i="10" s="1"/>
  <c r="K7" i="13" s="1"/>
  <c r="K17" i="13" s="1"/>
  <c r="K24" i="13" s="1"/>
  <c r="K6" i="13"/>
  <c r="J32" i="10"/>
  <c r="H25" i="10"/>
  <c r="H26" i="10" s="1"/>
  <c r="H7" i="12"/>
  <c r="H17" i="12" s="1"/>
  <c r="H24" i="12" s="1"/>
  <c r="L31" i="8"/>
  <c r="K35" i="8"/>
  <c r="L5" i="13" s="1"/>
  <c r="L15" i="13" s="1"/>
  <c r="L22" i="13" s="1"/>
  <c r="L25" i="9"/>
  <c r="K27" i="9"/>
  <c r="L6" i="13" s="1"/>
  <c r="L16" i="13" s="1"/>
  <c r="L23" i="13" s="1"/>
  <c r="J6" i="12"/>
  <c r="J16" i="12" s="1"/>
  <c r="J23" i="12" s="1"/>
  <c r="I23" i="10"/>
  <c r="K18" i="9"/>
  <c r="J20" i="9"/>
  <c r="K22" i="8"/>
  <c r="J26" i="8"/>
  <c r="K5" i="12" s="1"/>
  <c r="K15" i="12" s="1"/>
  <c r="K22" i="12" s="1"/>
  <c r="P4" i="13"/>
  <c r="P14" i="13" s="1"/>
  <c r="P21" i="13" s="1"/>
  <c r="P4" i="12"/>
  <c r="P14" i="12" s="1"/>
  <c r="P21" i="12" s="1"/>
  <c r="P24" i="7"/>
  <c r="V11" i="9" l="1"/>
  <c r="U13" i="9"/>
  <c r="V6" i="24" s="1"/>
  <c r="V16" i="24" s="1"/>
  <c r="S20" i="24"/>
  <c r="R24" i="24"/>
  <c r="R21" i="24"/>
  <c r="R23" i="24"/>
  <c r="R22" i="24"/>
  <c r="AA20" i="23"/>
  <c r="Z21" i="23"/>
  <c r="Z24" i="23"/>
  <c r="Z22" i="23"/>
  <c r="Z23" i="23"/>
  <c r="P42" i="11"/>
  <c r="P43" i="11"/>
  <c r="V13" i="8"/>
  <c r="U17" i="8"/>
  <c r="V5" i="24" s="1"/>
  <c r="V15" i="24" s="1"/>
  <c r="P61" i="11"/>
  <c r="P60" i="11"/>
  <c r="J35" i="10"/>
  <c r="K31" i="10" s="1"/>
  <c r="K34" i="10" s="1"/>
  <c r="L7" i="13" s="1"/>
  <c r="L17" i="13" s="1"/>
  <c r="L24" i="13" s="1"/>
  <c r="D24" i="13" s="1"/>
  <c r="K16" i="13"/>
  <c r="K23" i="13" s="1"/>
  <c r="M25" i="9"/>
  <c r="L27" i="9"/>
  <c r="M6" i="13" s="1"/>
  <c r="M16" i="13" s="1"/>
  <c r="M23" i="13" s="1"/>
  <c r="M31" i="8"/>
  <c r="L35" i="8"/>
  <c r="M5" i="13" s="1"/>
  <c r="M15" i="13" s="1"/>
  <c r="M22" i="13" s="1"/>
  <c r="I22" i="10"/>
  <c r="I7" i="12"/>
  <c r="I17" i="12" s="1"/>
  <c r="I24" i="12" s="1"/>
  <c r="K6" i="12"/>
  <c r="K16" i="12" s="1"/>
  <c r="K23" i="12" s="1"/>
  <c r="J23" i="10"/>
  <c r="L18" i="9"/>
  <c r="K20" i="9"/>
  <c r="L6" i="12" s="1"/>
  <c r="L16" i="12" s="1"/>
  <c r="L23" i="12" s="1"/>
  <c r="L22" i="8"/>
  <c r="K26" i="8"/>
  <c r="L5" i="12" s="1"/>
  <c r="L15" i="12" s="1"/>
  <c r="L22" i="12" s="1"/>
  <c r="Q4" i="13"/>
  <c r="Q14" i="13" s="1"/>
  <c r="Q21" i="13" s="1"/>
  <c r="Q4" i="12"/>
  <c r="Q14" i="12" s="1"/>
  <c r="Q21" i="12" s="1"/>
  <c r="Q24" i="7"/>
  <c r="AB20" i="23" l="1"/>
  <c r="AA21" i="23"/>
  <c r="AA24" i="23"/>
  <c r="AA22" i="23"/>
  <c r="AA23" i="23"/>
  <c r="T20" i="24"/>
  <c r="S24" i="24"/>
  <c r="S21" i="24"/>
  <c r="S22" i="24"/>
  <c r="S23" i="24"/>
  <c r="Q43" i="11"/>
  <c r="Q42" i="11"/>
  <c r="W13" i="8"/>
  <c r="V17" i="8"/>
  <c r="W5" i="24" s="1"/>
  <c r="W15" i="24" s="1"/>
  <c r="W11" i="9"/>
  <c r="V13" i="9"/>
  <c r="W6" i="24" s="1"/>
  <c r="W16" i="24" s="1"/>
  <c r="K32" i="10"/>
  <c r="K35" i="10" s="1"/>
  <c r="L31" i="10" s="1"/>
  <c r="L32" i="10" s="1"/>
  <c r="Q60" i="11"/>
  <c r="Q61" i="11"/>
  <c r="I25" i="10"/>
  <c r="I26" i="10" s="1"/>
  <c r="J22" i="10" s="1"/>
  <c r="N31" i="8"/>
  <c r="M35" i="8"/>
  <c r="N5" i="13" s="1"/>
  <c r="N15" i="13" s="1"/>
  <c r="N22" i="13" s="1"/>
  <c r="N25" i="9"/>
  <c r="M27" i="9"/>
  <c r="N6" i="13" s="1"/>
  <c r="N16" i="13" s="1"/>
  <c r="N23" i="13" s="1"/>
  <c r="M18" i="9"/>
  <c r="L20" i="9"/>
  <c r="M6" i="12" s="1"/>
  <c r="M16" i="12" s="1"/>
  <c r="M23" i="12" s="1"/>
  <c r="M22" i="8"/>
  <c r="L26" i="8"/>
  <c r="M5" i="12" s="1"/>
  <c r="M15" i="12" s="1"/>
  <c r="M22" i="12" s="1"/>
  <c r="R4" i="13"/>
  <c r="R14" i="13" s="1"/>
  <c r="R21" i="13" s="1"/>
  <c r="R4" i="12"/>
  <c r="R14" i="12" s="1"/>
  <c r="R21" i="12" s="1"/>
  <c r="M7" i="12"/>
  <c r="R24" i="7"/>
  <c r="R42" i="11" l="1"/>
  <c r="R43" i="11"/>
  <c r="U20" i="24"/>
  <c r="T24" i="24"/>
  <c r="T21" i="24"/>
  <c r="T22" i="24"/>
  <c r="T23" i="24"/>
  <c r="X13" i="8"/>
  <c r="W17" i="8"/>
  <c r="X5" i="24" s="1"/>
  <c r="X15" i="24" s="1"/>
  <c r="X11" i="9"/>
  <c r="W13" i="9"/>
  <c r="X6" i="24" s="1"/>
  <c r="X16" i="24" s="1"/>
  <c r="AC20" i="23"/>
  <c r="AB21" i="23"/>
  <c r="AB24" i="23"/>
  <c r="AB22" i="23"/>
  <c r="AB23" i="23"/>
  <c r="R61" i="11"/>
  <c r="R60" i="11"/>
  <c r="J7" i="12"/>
  <c r="J17" i="12" s="1"/>
  <c r="J24" i="12" s="1"/>
  <c r="J25" i="10"/>
  <c r="J26" i="10" s="1"/>
  <c r="K22" i="10" s="1"/>
  <c r="K23" i="10" s="1"/>
  <c r="O25" i="9"/>
  <c r="N27" i="9"/>
  <c r="O6" i="13" s="1"/>
  <c r="O16" i="13" s="1"/>
  <c r="O23" i="13" s="1"/>
  <c r="O31" i="8"/>
  <c r="N35" i="8"/>
  <c r="O5" i="13" s="1"/>
  <c r="O15" i="13" s="1"/>
  <c r="O22" i="13" s="1"/>
  <c r="N18" i="9"/>
  <c r="M20" i="9"/>
  <c r="N6" i="12" s="1"/>
  <c r="N16" i="12" s="1"/>
  <c r="N23" i="12" s="1"/>
  <c r="N22" i="8"/>
  <c r="M26" i="8"/>
  <c r="N5" i="12" s="1"/>
  <c r="N15" i="12" s="1"/>
  <c r="N22" i="12" s="1"/>
  <c r="S4" i="12"/>
  <c r="S14" i="12" s="1"/>
  <c r="S21" i="12" s="1"/>
  <c r="S4" i="13"/>
  <c r="S14" i="13" s="1"/>
  <c r="S21" i="13" s="1"/>
  <c r="N7" i="12"/>
  <c r="M17" i="12"/>
  <c r="M24" i="12" s="1"/>
  <c r="S24" i="7"/>
  <c r="Y11" i="9" l="1"/>
  <c r="X13" i="9"/>
  <c r="Y6" i="24" s="1"/>
  <c r="Y16" i="24" s="1"/>
  <c r="S42" i="11"/>
  <c r="S43" i="11"/>
  <c r="AC24" i="23"/>
  <c r="D24" i="23" s="1"/>
  <c r="AC21" i="23"/>
  <c r="D21" i="23" s="1"/>
  <c r="AC23" i="23"/>
  <c r="D23" i="23" s="1"/>
  <c r="AC22" i="23"/>
  <c r="D22" i="23" s="1"/>
  <c r="Y13" i="8"/>
  <c r="X17" i="8"/>
  <c r="Y5" i="24" s="1"/>
  <c r="Y15" i="24" s="1"/>
  <c r="V20" i="24"/>
  <c r="U24" i="24"/>
  <c r="U21" i="24"/>
  <c r="U23" i="24"/>
  <c r="U22" i="24"/>
  <c r="S60" i="11"/>
  <c r="S61" i="11"/>
  <c r="K25" i="10"/>
  <c r="L7" i="12" s="1"/>
  <c r="L17" i="12" s="1"/>
  <c r="L24" i="12" s="1"/>
  <c r="K7" i="12"/>
  <c r="K17" i="12" s="1"/>
  <c r="K24" i="12" s="1"/>
  <c r="P31" i="8"/>
  <c r="O35" i="8"/>
  <c r="P5" i="13" s="1"/>
  <c r="P15" i="13" s="1"/>
  <c r="P22" i="13" s="1"/>
  <c r="P25" i="9"/>
  <c r="O27" i="9"/>
  <c r="P6" i="13" s="1"/>
  <c r="P16" i="13" s="1"/>
  <c r="P23" i="13" s="1"/>
  <c r="O18" i="9"/>
  <c r="N20" i="9"/>
  <c r="O6" i="12" s="1"/>
  <c r="O16" i="12" s="1"/>
  <c r="O23" i="12" s="1"/>
  <c r="O22" i="8"/>
  <c r="N26" i="8"/>
  <c r="O5" i="12" s="1"/>
  <c r="O15" i="12" s="1"/>
  <c r="O22" i="12" s="1"/>
  <c r="T4" i="13"/>
  <c r="T14" i="13" s="1"/>
  <c r="T21" i="13" s="1"/>
  <c r="T4" i="12"/>
  <c r="T14" i="12" s="1"/>
  <c r="T21" i="12" s="1"/>
  <c r="N17" i="12"/>
  <c r="N24" i="12" s="1"/>
  <c r="O7" i="12"/>
  <c r="T24" i="7"/>
  <c r="Z13" i="8" l="1"/>
  <c r="Y17" i="8"/>
  <c r="Z5" i="24" s="1"/>
  <c r="Z15" i="24" s="1"/>
  <c r="T42" i="11"/>
  <c r="T43" i="11"/>
  <c r="W20" i="24"/>
  <c r="V24" i="24"/>
  <c r="V21" i="24"/>
  <c r="V22" i="24"/>
  <c r="V23" i="24"/>
  <c r="Z11" i="9"/>
  <c r="Y13" i="9"/>
  <c r="Z6" i="24" s="1"/>
  <c r="Z16" i="24" s="1"/>
  <c r="T61" i="11"/>
  <c r="T60" i="11"/>
  <c r="K26" i="10"/>
  <c r="L22" i="10" s="1"/>
  <c r="L23" i="10" s="1"/>
  <c r="Q25" i="9"/>
  <c r="P27" i="9"/>
  <c r="Q6" i="13" s="1"/>
  <c r="Q16" i="13" s="1"/>
  <c r="Q23" i="13" s="1"/>
  <c r="Q31" i="8"/>
  <c r="P35" i="8"/>
  <c r="Q5" i="13" s="1"/>
  <c r="Q15" i="13" s="1"/>
  <c r="Q22" i="13" s="1"/>
  <c r="P18" i="9"/>
  <c r="O20" i="9"/>
  <c r="P6" i="12" s="1"/>
  <c r="P16" i="12" s="1"/>
  <c r="P23" i="12" s="1"/>
  <c r="P22" i="8"/>
  <c r="O26" i="8"/>
  <c r="P5" i="12" s="1"/>
  <c r="P15" i="12" s="1"/>
  <c r="P22" i="12" s="1"/>
  <c r="U4" i="13"/>
  <c r="U14" i="13" s="1"/>
  <c r="U21" i="13" s="1"/>
  <c r="U4" i="12"/>
  <c r="U14" i="12" s="1"/>
  <c r="U21" i="12" s="1"/>
  <c r="P7" i="12"/>
  <c r="O17" i="12"/>
  <c r="O24" i="12" s="1"/>
  <c r="U24" i="7"/>
  <c r="AA11" i="9" l="1"/>
  <c r="Z13" i="9"/>
  <c r="AA6" i="24" s="1"/>
  <c r="AA16" i="24" s="1"/>
  <c r="X20" i="24"/>
  <c r="W24" i="24"/>
  <c r="W21" i="24"/>
  <c r="W22" i="24"/>
  <c r="W23" i="24"/>
  <c r="U43" i="11"/>
  <c r="U42" i="11"/>
  <c r="AA13" i="8"/>
  <c r="Z17" i="8"/>
  <c r="AA5" i="24" s="1"/>
  <c r="AA15" i="24" s="1"/>
  <c r="U60" i="11"/>
  <c r="U61" i="11"/>
  <c r="R31" i="8"/>
  <c r="Q35" i="8"/>
  <c r="R5" i="13" s="1"/>
  <c r="R25" i="9"/>
  <c r="Q27" i="9"/>
  <c r="R6" i="13" s="1"/>
  <c r="R16" i="13" s="1"/>
  <c r="R23" i="13" s="1"/>
  <c r="Q18" i="9"/>
  <c r="P20" i="9"/>
  <c r="Q6" i="12" s="1"/>
  <c r="Q16" i="12" s="1"/>
  <c r="Q23" i="12" s="1"/>
  <c r="Q22" i="8"/>
  <c r="P26" i="8"/>
  <c r="Q5" i="12" s="1"/>
  <c r="Q15" i="12" s="1"/>
  <c r="Q22" i="12" s="1"/>
  <c r="V4" i="12"/>
  <c r="V14" i="12" s="1"/>
  <c r="V21" i="12" s="1"/>
  <c r="V4" i="13"/>
  <c r="V14" i="13" s="1"/>
  <c r="V21" i="13" s="1"/>
  <c r="P17" i="12"/>
  <c r="P24" i="12" s="1"/>
  <c r="Q7" i="12"/>
  <c r="V24" i="7"/>
  <c r="V42" i="11" l="1"/>
  <c r="V43" i="11"/>
  <c r="AB13" i="8"/>
  <c r="AB17" i="8" s="1"/>
  <c r="AC5" i="24" s="1"/>
  <c r="AC15" i="24" s="1"/>
  <c r="AA17" i="8"/>
  <c r="AB5" i="24" s="1"/>
  <c r="AB15" i="24" s="1"/>
  <c r="AB11" i="9"/>
  <c r="AB13" i="9" s="1"/>
  <c r="AC6" i="24" s="1"/>
  <c r="AC16" i="24" s="1"/>
  <c r="AA13" i="9"/>
  <c r="AB6" i="24" s="1"/>
  <c r="AB16" i="24" s="1"/>
  <c r="Y20" i="24"/>
  <c r="X24" i="24"/>
  <c r="X21" i="24"/>
  <c r="X22" i="24"/>
  <c r="X23" i="24"/>
  <c r="V61" i="11"/>
  <c r="V60" i="11"/>
  <c r="R15" i="13"/>
  <c r="R22" i="13" s="1"/>
  <c r="S25" i="9"/>
  <c r="R27" i="9"/>
  <c r="S6" i="13" s="1"/>
  <c r="S16" i="13" s="1"/>
  <c r="S23" i="13" s="1"/>
  <c r="S31" i="8"/>
  <c r="R35" i="8"/>
  <c r="S5" i="13" s="1"/>
  <c r="S15" i="13" s="1"/>
  <c r="S22" i="13" s="1"/>
  <c r="R18" i="9"/>
  <c r="Q20" i="9"/>
  <c r="R6" i="12" s="1"/>
  <c r="R16" i="12" s="1"/>
  <c r="R23" i="12" s="1"/>
  <c r="R22" i="8"/>
  <c r="Q26" i="8"/>
  <c r="R5" i="12" s="1"/>
  <c r="R15" i="12" s="1"/>
  <c r="R22" i="12" s="1"/>
  <c r="W4" i="12"/>
  <c r="W14" i="12" s="1"/>
  <c r="W21" i="12" s="1"/>
  <c r="W4" i="13"/>
  <c r="W14" i="13" s="1"/>
  <c r="W21" i="13" s="1"/>
  <c r="Q17" i="12"/>
  <c r="Q24" i="12" s="1"/>
  <c r="R7" i="12"/>
  <c r="W24" i="7"/>
  <c r="Z20" i="24" l="1"/>
  <c r="Y24" i="24"/>
  <c r="Y21" i="24"/>
  <c r="Y22" i="24"/>
  <c r="Y23" i="24"/>
  <c r="W43" i="11"/>
  <c r="W42" i="11"/>
  <c r="W61" i="11"/>
  <c r="W60" i="11"/>
  <c r="T31" i="8"/>
  <c r="S35" i="8"/>
  <c r="T5" i="13" s="1"/>
  <c r="T25" i="9"/>
  <c r="S27" i="9"/>
  <c r="T6" i="13" s="1"/>
  <c r="T16" i="13" s="1"/>
  <c r="T23" i="13" s="1"/>
  <c r="S18" i="9"/>
  <c r="R20" i="9"/>
  <c r="S6" i="12" s="1"/>
  <c r="S16" i="12" s="1"/>
  <c r="S23" i="12" s="1"/>
  <c r="S22" i="8"/>
  <c r="R26" i="8"/>
  <c r="S5" i="12" s="1"/>
  <c r="S15" i="12" s="1"/>
  <c r="S22" i="12" s="1"/>
  <c r="X4" i="13"/>
  <c r="X14" i="13" s="1"/>
  <c r="X21" i="13" s="1"/>
  <c r="X4" i="12"/>
  <c r="X14" i="12" s="1"/>
  <c r="X21" i="12" s="1"/>
  <c r="R17" i="12"/>
  <c r="R24" i="12" s="1"/>
  <c r="S7" i="12"/>
  <c r="X24" i="7"/>
  <c r="X42" i="11" l="1"/>
  <c r="X43" i="11"/>
  <c r="AA20" i="24"/>
  <c r="Z24" i="24"/>
  <c r="Z21" i="24"/>
  <c r="Z22" i="24"/>
  <c r="Z23" i="24"/>
  <c r="X61" i="11"/>
  <c r="X60" i="11"/>
  <c r="T15" i="13"/>
  <c r="T22" i="13" s="1"/>
  <c r="U25" i="9"/>
  <c r="T27" i="9"/>
  <c r="U6" i="13" s="1"/>
  <c r="U16" i="13" s="1"/>
  <c r="U23" i="13" s="1"/>
  <c r="U31" i="8"/>
  <c r="T35" i="8"/>
  <c r="U5" i="13" s="1"/>
  <c r="T18" i="9"/>
  <c r="S20" i="9"/>
  <c r="T6" i="12" s="1"/>
  <c r="T16" i="12" s="1"/>
  <c r="T23" i="12" s="1"/>
  <c r="T22" i="8"/>
  <c r="S26" i="8"/>
  <c r="T5" i="12" s="1"/>
  <c r="T15" i="12" s="1"/>
  <c r="T22" i="12" s="1"/>
  <c r="Y4" i="13"/>
  <c r="Y14" i="13" s="1"/>
  <c r="Y21" i="13" s="1"/>
  <c r="Y4" i="12"/>
  <c r="Y14" i="12" s="1"/>
  <c r="Y21" i="12" s="1"/>
  <c r="S17" i="12"/>
  <c r="S24" i="12" s="1"/>
  <c r="T7" i="12"/>
  <c r="Y24" i="7"/>
  <c r="Y43" i="11" l="1"/>
  <c r="Y42" i="11"/>
  <c r="AB20" i="24"/>
  <c r="AA24" i="24"/>
  <c r="AA21" i="24"/>
  <c r="AA22" i="24"/>
  <c r="AA23" i="24"/>
  <c r="Y60" i="11"/>
  <c r="Y61" i="11"/>
  <c r="U15" i="13"/>
  <c r="U22" i="13" s="1"/>
  <c r="V31" i="8"/>
  <c r="U35" i="8"/>
  <c r="V5" i="13" s="1"/>
  <c r="V15" i="13" s="1"/>
  <c r="V22" i="13" s="1"/>
  <c r="V25" i="9"/>
  <c r="U27" i="9"/>
  <c r="V6" i="13" s="1"/>
  <c r="V16" i="13" s="1"/>
  <c r="V23" i="13" s="1"/>
  <c r="U18" i="9"/>
  <c r="T20" i="9"/>
  <c r="U6" i="12" s="1"/>
  <c r="U16" i="12" s="1"/>
  <c r="U23" i="12" s="1"/>
  <c r="U22" i="8"/>
  <c r="T26" i="8"/>
  <c r="U5" i="12" s="1"/>
  <c r="U15" i="12" s="1"/>
  <c r="U22" i="12" s="1"/>
  <c r="Z4" i="12"/>
  <c r="Z14" i="12" s="1"/>
  <c r="Z21" i="12" s="1"/>
  <c r="Z4" i="13"/>
  <c r="Z14" i="13" s="1"/>
  <c r="Z21" i="13" s="1"/>
  <c r="T17" i="12"/>
  <c r="T24" i="12" s="1"/>
  <c r="U7" i="12"/>
  <c r="Z24" i="7"/>
  <c r="Z42" i="11" l="1"/>
  <c r="Z43" i="11"/>
  <c r="AC20" i="24"/>
  <c r="AB24" i="24"/>
  <c r="AB21" i="24"/>
  <c r="AB23" i="24"/>
  <c r="AB22" i="24"/>
  <c r="Z61" i="11"/>
  <c r="Z60" i="11"/>
  <c r="W25" i="9"/>
  <c r="V27" i="9"/>
  <c r="W6" i="13" s="1"/>
  <c r="W16" i="13" s="1"/>
  <c r="W23" i="13" s="1"/>
  <c r="W31" i="8"/>
  <c r="V35" i="8"/>
  <c r="W5" i="13" s="1"/>
  <c r="V18" i="9"/>
  <c r="U20" i="9"/>
  <c r="V6" i="12" s="1"/>
  <c r="V16" i="12" s="1"/>
  <c r="V23" i="12" s="1"/>
  <c r="V22" i="8"/>
  <c r="U26" i="8"/>
  <c r="V5" i="12" s="1"/>
  <c r="V15" i="12" s="1"/>
  <c r="V22" i="12" s="1"/>
  <c r="AA4" i="12"/>
  <c r="AA14" i="12" s="1"/>
  <c r="AA21" i="12" s="1"/>
  <c r="AA4" i="13"/>
  <c r="AA14" i="13" s="1"/>
  <c r="AA21" i="13" s="1"/>
  <c r="V7" i="12"/>
  <c r="U17" i="12"/>
  <c r="U24" i="12" s="1"/>
  <c r="AA24" i="7"/>
  <c r="AB24" i="7"/>
  <c r="AB42" i="11" l="1"/>
  <c r="AB43" i="11"/>
  <c r="AC24" i="24"/>
  <c r="D24" i="24" s="1"/>
  <c r="AC21" i="24"/>
  <c r="D21" i="24" s="1"/>
  <c r="AC22" i="24"/>
  <c r="D22" i="24" s="1"/>
  <c r="AC23" i="24"/>
  <c r="D23" i="24" s="1"/>
  <c r="AA42" i="11"/>
  <c r="AA43" i="11"/>
  <c r="AB61" i="11"/>
  <c r="AB60" i="11"/>
  <c r="AA60" i="11"/>
  <c r="AA61" i="11"/>
  <c r="W15" i="13"/>
  <c r="W22" i="13" s="1"/>
  <c r="X31" i="8"/>
  <c r="W35" i="8"/>
  <c r="X5" i="13" s="1"/>
  <c r="X25" i="9"/>
  <c r="W27" i="9"/>
  <c r="X6" i="13" s="1"/>
  <c r="X16" i="13" s="1"/>
  <c r="X23" i="13" s="1"/>
  <c r="W18" i="9"/>
  <c r="V20" i="9"/>
  <c r="W6" i="12" s="1"/>
  <c r="W16" i="12" s="1"/>
  <c r="W23" i="12" s="1"/>
  <c r="W22" i="8"/>
  <c r="V26" i="8"/>
  <c r="W5" i="12" s="1"/>
  <c r="W15" i="12" s="1"/>
  <c r="W22" i="12" s="1"/>
  <c r="AB4" i="13"/>
  <c r="AB14" i="13" s="1"/>
  <c r="AB21" i="13" s="1"/>
  <c r="AB4" i="12"/>
  <c r="AB14" i="12" s="1"/>
  <c r="AB21" i="12" s="1"/>
  <c r="AC4" i="13"/>
  <c r="AC14" i="13" s="1"/>
  <c r="AC21" i="13" s="1"/>
  <c r="AC4" i="12"/>
  <c r="AC14" i="12" s="1"/>
  <c r="AC21" i="12" s="1"/>
  <c r="V17" i="12"/>
  <c r="V24" i="12" s="1"/>
  <c r="W7" i="12"/>
  <c r="D21" i="12" l="1"/>
  <c r="D21" i="13"/>
  <c r="X15" i="13"/>
  <c r="X22" i="13" s="1"/>
  <c r="Y25" i="9"/>
  <c r="X27" i="9"/>
  <c r="Y6" i="13" s="1"/>
  <c r="Y16" i="13" s="1"/>
  <c r="Y23" i="13" s="1"/>
  <c r="Y31" i="8"/>
  <c r="X35" i="8"/>
  <c r="Y5" i="13" s="1"/>
  <c r="Y15" i="13" s="1"/>
  <c r="Y22" i="13" s="1"/>
  <c r="X18" i="9"/>
  <c r="W20" i="9"/>
  <c r="X6" i="12" s="1"/>
  <c r="X16" i="12" s="1"/>
  <c r="X23" i="12" s="1"/>
  <c r="X22" i="8"/>
  <c r="W26" i="8"/>
  <c r="X5" i="12" s="1"/>
  <c r="X15" i="12" s="1"/>
  <c r="X22" i="12" s="1"/>
  <c r="W17" i="12"/>
  <c r="W24" i="12" s="1"/>
  <c r="X7" i="12"/>
  <c r="Z31" i="8" l="1"/>
  <c r="Y35" i="8"/>
  <c r="Z5" i="13" s="1"/>
  <c r="Z15" i="13" s="1"/>
  <c r="Z22" i="13" s="1"/>
  <c r="Z25" i="9"/>
  <c r="Y27" i="9"/>
  <c r="Z6" i="13" s="1"/>
  <c r="Z16" i="13" s="1"/>
  <c r="Z23" i="13" s="1"/>
  <c r="Y18" i="9"/>
  <c r="X20" i="9"/>
  <c r="Y6" i="12" s="1"/>
  <c r="Y16" i="12" s="1"/>
  <c r="Y23" i="12" s="1"/>
  <c r="Y22" i="8"/>
  <c r="X26" i="8"/>
  <c r="Y5" i="12" s="1"/>
  <c r="Y15" i="12" s="1"/>
  <c r="Y22" i="12" s="1"/>
  <c r="X17" i="12"/>
  <c r="X24" i="12" s="1"/>
  <c r="Y7" i="12"/>
  <c r="AA25" i="9" l="1"/>
  <c r="Z27" i="9"/>
  <c r="AA6" i="13" s="1"/>
  <c r="AA16" i="13" s="1"/>
  <c r="AA23" i="13" s="1"/>
  <c r="AA31" i="8"/>
  <c r="Z35" i="8"/>
  <c r="AA5" i="13" s="1"/>
  <c r="AA15" i="13" s="1"/>
  <c r="AA22" i="13" s="1"/>
  <c r="Z18" i="9"/>
  <c r="Y20" i="9"/>
  <c r="Z6" i="12" s="1"/>
  <c r="Z16" i="12" s="1"/>
  <c r="Z23" i="12" s="1"/>
  <c r="Z22" i="8"/>
  <c r="Y26" i="8"/>
  <c r="Z5" i="12" s="1"/>
  <c r="Z15" i="12" s="1"/>
  <c r="Z22" i="12" s="1"/>
  <c r="Y17" i="12"/>
  <c r="Y24" i="12" s="1"/>
  <c r="Z7" i="12"/>
  <c r="AB31" i="8" l="1"/>
  <c r="AB35" i="8" s="1"/>
  <c r="AC5" i="13" s="1"/>
  <c r="AA35" i="8"/>
  <c r="AB5" i="13" s="1"/>
  <c r="AB15" i="13" s="1"/>
  <c r="AB22" i="13" s="1"/>
  <c r="AB25" i="9"/>
  <c r="AB27" i="9" s="1"/>
  <c r="AC6" i="13" s="1"/>
  <c r="AC16" i="13" s="1"/>
  <c r="AC23" i="13" s="1"/>
  <c r="AA27" i="9"/>
  <c r="AB6" i="13" s="1"/>
  <c r="AB16" i="13" s="1"/>
  <c r="AB23" i="13" s="1"/>
  <c r="AA18" i="9"/>
  <c r="Z20" i="9"/>
  <c r="AA6" i="12" s="1"/>
  <c r="AA16" i="12" s="1"/>
  <c r="AA23" i="12" s="1"/>
  <c r="AA22" i="8"/>
  <c r="Z26" i="8"/>
  <c r="AA5" i="12" s="1"/>
  <c r="AA15" i="12" s="1"/>
  <c r="AA22" i="12" s="1"/>
  <c r="AC15" i="13"/>
  <c r="AC22" i="13" s="1"/>
  <c r="AA7" i="12"/>
  <c r="Z17" i="12"/>
  <c r="Z24" i="12" s="1"/>
  <c r="D23" i="13" l="1"/>
  <c r="AB18" i="9"/>
  <c r="AB20" i="9" s="1"/>
  <c r="AC6" i="12" s="1"/>
  <c r="AC16" i="12" s="1"/>
  <c r="AC23" i="12" s="1"/>
  <c r="AA20" i="9"/>
  <c r="AB6" i="12" s="1"/>
  <c r="AB16" i="12" s="1"/>
  <c r="AB23" i="12" s="1"/>
  <c r="AB22" i="8"/>
  <c r="AB26" i="8" s="1"/>
  <c r="AC5" i="12" s="1"/>
  <c r="AC15" i="12" s="1"/>
  <c r="AC22" i="12" s="1"/>
  <c r="AA26" i="8"/>
  <c r="AB5" i="12" s="1"/>
  <c r="AB15" i="12" s="1"/>
  <c r="AB22" i="12" s="1"/>
  <c r="AA17" i="12"/>
  <c r="AA24" i="12" s="1"/>
  <c r="AC7" i="12"/>
  <c r="AC17" i="12" s="1"/>
  <c r="AC24" i="12" s="1"/>
  <c r="AB7" i="12"/>
  <c r="D22" i="13"/>
  <c r="D23" i="12" l="1"/>
  <c r="D22" i="12"/>
  <c r="AB17" i="12"/>
  <c r="AB24" i="12" s="1"/>
  <c r="D24" i="12" s="1"/>
  <c r="E69" i="11" l="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D51" i="11" l="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D69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C18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AC25" i="24"/>
  <c r="D26" i="24"/>
  <c r="D28" i="24"/>
  <c r="D29" i="24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D26" i="23"/>
  <c r="D28" i="2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D26" i="13"/>
  <c r="D28" i="13"/>
  <c r="D29" i="13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D26" i="12"/>
  <c r="D28" i="12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T11" i="28"/>
  <c r="U11" i="28"/>
  <c r="V11" i="28"/>
  <c r="W11" i="28"/>
  <c r="X11" i="28"/>
  <c r="Y11" i="28"/>
  <c r="Z11" i="28"/>
  <c r="AA11" i="28"/>
  <c r="AB11" i="28"/>
  <c r="D11" i="25"/>
  <c r="F11" i="25"/>
  <c r="D12" i="25"/>
  <c r="D13" i="25"/>
  <c r="D14" i="25"/>
  <c r="F14" i="25"/>
  <c r="D15" i="25"/>
  <c r="F15" i="25"/>
  <c r="C16" i="25"/>
  <c r="D16" i="25"/>
  <c r="E16" i="25"/>
  <c r="F16" i="25"/>
  <c r="G16" i="25"/>
  <c r="D17" i="25"/>
  <c r="F17" i="25"/>
  <c r="C18" i="25"/>
  <c r="E18" i="25"/>
  <c r="G18" i="25"/>
  <c r="H4" i="27"/>
  <c r="H5" i="27"/>
  <c r="H6" i="27"/>
  <c r="G7" i="27"/>
  <c r="H7" i="27"/>
  <c r="G8" i="27"/>
  <c r="H9" i="27"/>
  <c r="G10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AG21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AG28" i="27"/>
  <c r="AH28" i="27"/>
  <c r="H4" i="26"/>
  <c r="H5" i="26"/>
  <c r="H6" i="26"/>
  <c r="H7" i="26"/>
  <c r="H8" i="26"/>
  <c r="G9" i="26"/>
  <c r="H9" i="26"/>
  <c r="G10" i="26"/>
  <c r="H11" i="26"/>
  <c r="G12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AG23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AG32" i="26"/>
  <c r="AH32" i="26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</calcChain>
</file>

<file path=xl/sharedStrings.xml><?xml version="1.0" encoding="utf-8"?>
<sst xmlns="http://schemas.openxmlformats.org/spreadsheetml/2006/main" count="1498" uniqueCount="385">
  <si>
    <t>INR Lakhs</t>
  </si>
  <si>
    <t>Unit</t>
  </si>
  <si>
    <t>Total</t>
  </si>
  <si>
    <t>INR Crores/MW</t>
  </si>
  <si>
    <t>Units</t>
  </si>
  <si>
    <t>Amount</t>
  </si>
  <si>
    <t>GCV range</t>
  </si>
  <si>
    <t>Basic Price</t>
  </si>
  <si>
    <t>Crushing Charges</t>
  </si>
  <si>
    <t>Surface transportation charges</t>
  </si>
  <si>
    <t>Royalty</t>
  </si>
  <si>
    <t>Excise Duty</t>
  </si>
  <si>
    <t>Stowing Excise Duty</t>
  </si>
  <si>
    <t>Sub-Total</t>
  </si>
  <si>
    <t>Railway Distance</t>
  </si>
  <si>
    <t>Road Distance</t>
  </si>
  <si>
    <t>Basic Freight</t>
  </si>
  <si>
    <t>Development Charge</t>
  </si>
  <si>
    <t>Terminal Charges</t>
  </si>
  <si>
    <t>Service Tax</t>
  </si>
  <si>
    <t>Rate</t>
  </si>
  <si>
    <t>GST</t>
  </si>
  <si>
    <t>Capacity</t>
  </si>
  <si>
    <t>MW</t>
  </si>
  <si>
    <t>Plant Load Factor</t>
  </si>
  <si>
    <t>%</t>
  </si>
  <si>
    <t>Auxiliary Consumption</t>
  </si>
  <si>
    <t>Useful Life</t>
  </si>
  <si>
    <t>Years</t>
  </si>
  <si>
    <t>Power Plant Capital Cost</t>
  </si>
  <si>
    <t>Pre-GST</t>
  </si>
  <si>
    <t>Post-GST</t>
  </si>
  <si>
    <t>Financial Assumptions</t>
  </si>
  <si>
    <t>Debt</t>
  </si>
  <si>
    <t>Equity</t>
  </si>
  <si>
    <t>Interest Rate</t>
  </si>
  <si>
    <t>Pre-Tax Return on Equity</t>
  </si>
  <si>
    <t>MAT Rate</t>
  </si>
  <si>
    <t>Input Values</t>
  </si>
  <si>
    <t>Fixed Parameters</t>
  </si>
  <si>
    <t>Post-Tax Return on Equity</t>
  </si>
  <si>
    <t>As per CERC regulations for Tariff period 2014-19</t>
  </si>
  <si>
    <t>Arrived at through calculations</t>
  </si>
  <si>
    <t>Calculated here</t>
  </si>
  <si>
    <t>Income Tax</t>
  </si>
  <si>
    <t>Working Capital</t>
  </si>
  <si>
    <t>Maintenance Spares (%of O&amp;M Expenses)</t>
  </si>
  <si>
    <t>Interest on Working Capital</t>
  </si>
  <si>
    <t>As per SBI PLR</t>
  </si>
  <si>
    <t>O&amp;M Expense Escalation</t>
  </si>
  <si>
    <t>Capital cost excluding IDC/IEDC/FC</t>
  </si>
  <si>
    <t>PRE-GST</t>
  </si>
  <si>
    <t>POST-GST</t>
  </si>
  <si>
    <t>As on COD in INR Lakhs</t>
  </si>
  <si>
    <t>O&amp;M Expenses</t>
  </si>
  <si>
    <t>Additional O&amp;M Expenses on account of FGD</t>
  </si>
  <si>
    <t>O&amp;M Norms as per CERC Tariff Regualtions for 2014-19</t>
  </si>
  <si>
    <t>FY17</t>
  </si>
  <si>
    <t>FY18</t>
  </si>
  <si>
    <t>FY19</t>
  </si>
  <si>
    <t>FY15</t>
  </si>
  <si>
    <t>FY16</t>
  </si>
  <si>
    <t>200/210/250 MW</t>
  </si>
  <si>
    <t>300/330/350 MW</t>
  </si>
  <si>
    <t>500 MW</t>
  </si>
  <si>
    <t>600 MW and above</t>
  </si>
  <si>
    <t>INR Lakhs/MW</t>
  </si>
  <si>
    <t>Total O&amp;M Expenses</t>
  </si>
  <si>
    <t>Average</t>
  </si>
  <si>
    <t>-</t>
  </si>
  <si>
    <t>PRE-GST and POST-GST</t>
  </si>
  <si>
    <t>Return on Equity (Base Rate)</t>
  </si>
  <si>
    <t>Tax rate for the year</t>
  </si>
  <si>
    <t>Rate of Return on Equity (Pre-Tax)</t>
  </si>
  <si>
    <t xml:space="preserve">Return on Equity  </t>
  </si>
  <si>
    <t>Depreciation</t>
  </si>
  <si>
    <t>Interest on Loan</t>
  </si>
  <si>
    <t>Opening Loan</t>
  </si>
  <si>
    <t>Net Closing Loan</t>
  </si>
  <si>
    <t>Weighted Average Rate of Interest on Loan (%)</t>
  </si>
  <si>
    <t>Return on Equity</t>
  </si>
  <si>
    <t>Interest on WC</t>
  </si>
  <si>
    <t>Total Fixed Cost</t>
  </si>
  <si>
    <t>Discount Factor</t>
  </si>
  <si>
    <t>Discount Rate</t>
  </si>
  <si>
    <t>Disc. O&amp;M Expenses</t>
  </si>
  <si>
    <t>Disc. Return on Equity</t>
  </si>
  <si>
    <t>Disc. Depreciation</t>
  </si>
  <si>
    <t>Disc. Interest on Loan</t>
  </si>
  <si>
    <t>Disc. Interest on WC</t>
  </si>
  <si>
    <t>Generation</t>
  </si>
  <si>
    <t>MU</t>
  </si>
  <si>
    <t>Parameters</t>
  </si>
  <si>
    <t>Plant Capacity</t>
  </si>
  <si>
    <t>PLF</t>
  </si>
  <si>
    <t>Energy Output at Rated Capacity</t>
  </si>
  <si>
    <t>Gross Generation</t>
  </si>
  <si>
    <t>Net Generation</t>
  </si>
  <si>
    <t>kWh</t>
  </si>
  <si>
    <t>Years --&gt;</t>
  </si>
  <si>
    <t>Lev. O&amp;M Expenses</t>
  </si>
  <si>
    <t>Lev. Depreciation</t>
  </si>
  <si>
    <t>Lev. Interest on Loan</t>
  </si>
  <si>
    <t>Lev. Interest on WC</t>
  </si>
  <si>
    <t>Lev. Return on Equity</t>
  </si>
  <si>
    <t>Lev. Fixed Charges</t>
  </si>
  <si>
    <t>INR/kWh</t>
  </si>
  <si>
    <t>Year --&gt;</t>
  </si>
  <si>
    <t>Energy charges</t>
  </si>
  <si>
    <t>Cost of secondary fuel oil - 2 months</t>
  </si>
  <si>
    <t>O&amp;M Expenses - 1 month</t>
  </si>
  <si>
    <t>20% 0f O&amp;M</t>
  </si>
  <si>
    <t>Maintenance Spares</t>
  </si>
  <si>
    <t>Receivables - 2 months</t>
  </si>
  <si>
    <t>Total Working Capital</t>
  </si>
  <si>
    <t>Rate of Interest (%)</t>
  </si>
  <si>
    <t>Variable Charges - 2 months</t>
  </si>
  <si>
    <t>Fixed Charges - 2 months</t>
  </si>
  <si>
    <t>kCal/kWh</t>
  </si>
  <si>
    <t>ml/kWh</t>
  </si>
  <si>
    <t>GHR</t>
  </si>
  <si>
    <t>Gross Station Heat Rate</t>
  </si>
  <si>
    <t>AUX</t>
  </si>
  <si>
    <t>Auxiliary Energy Consumption</t>
  </si>
  <si>
    <t>SFC</t>
  </si>
  <si>
    <t>Specific Fuel Oil Consumption</t>
  </si>
  <si>
    <t>CVSF</t>
  </si>
  <si>
    <t>Weighted Average GCV of Oil</t>
  </si>
  <si>
    <t>kCal/ml</t>
  </si>
  <si>
    <t>CVPF</t>
  </si>
  <si>
    <t>Weighted Average GCV of Coal</t>
  </si>
  <si>
    <t>kCal/kg</t>
  </si>
  <si>
    <t>LPPF</t>
  </si>
  <si>
    <t>₹/kg</t>
  </si>
  <si>
    <t>LPSF</t>
  </si>
  <si>
    <t>₹/l</t>
  </si>
  <si>
    <t>ECR</t>
  </si>
  <si>
    <t>Rate of Energy Charge ex-bus per kWh</t>
  </si>
  <si>
    <t>₹/kWh</t>
  </si>
  <si>
    <t>Landed Price of Primary Fuel (Coal)</t>
  </si>
  <si>
    <t>Landed Price of Secondary Fuel (Oil)</t>
  </si>
  <si>
    <t>Operational Characteristics</t>
  </si>
  <si>
    <t>GCV of Coal (Primary Fuel)</t>
  </si>
  <si>
    <t>GCV of Oil (Secondary Fuel)</t>
  </si>
  <si>
    <t>km</t>
  </si>
  <si>
    <t>Contribution to DMF (of Royalty)</t>
  </si>
  <si>
    <t>Contribution to NMET (of Royalty)</t>
  </si>
  <si>
    <t>Grand Total</t>
  </si>
  <si>
    <t>Grade</t>
  </si>
  <si>
    <t>GRAND TOTAL</t>
  </si>
  <si>
    <t>INR/kg</t>
  </si>
  <si>
    <t>Cost of coal - 30 days</t>
  </si>
  <si>
    <t>Hard Cost</t>
  </si>
  <si>
    <t xml:space="preserve">IDC </t>
  </si>
  <si>
    <t>Plant Gross Capacity</t>
  </si>
  <si>
    <t>Plant Net Capacity</t>
  </si>
  <si>
    <t>Working Capital Margin</t>
  </si>
  <si>
    <t>Total Capital Cost</t>
  </si>
  <si>
    <t>IDC</t>
  </si>
  <si>
    <t>Equity Amount</t>
  </si>
  <si>
    <t>Depreciation Rate (first 12 years)</t>
  </si>
  <si>
    <t>Depreciation Rate (remaining years)</t>
  </si>
  <si>
    <t>Depreciation Rate</t>
  </si>
  <si>
    <t>Capital Cost</t>
  </si>
  <si>
    <t>Principal Repayment at the year end</t>
  </si>
  <si>
    <t>Specific Coal Consumption</t>
  </si>
  <si>
    <t>kg/kWh</t>
  </si>
  <si>
    <t>Cost of Secondary Fuel (Oil)</t>
  </si>
  <si>
    <t>INR/Kl</t>
  </si>
  <si>
    <t>Contribution of Coal to SHR</t>
  </si>
  <si>
    <t>Specific Gravity of LDO</t>
  </si>
  <si>
    <t>Taxes and Levies on Coal</t>
  </si>
  <si>
    <t>Transportation</t>
  </si>
  <si>
    <t>Taxes and Levies on Transportation</t>
  </si>
  <si>
    <t>A</t>
  </si>
  <si>
    <t xml:space="preserve">B </t>
  </si>
  <si>
    <t>C</t>
  </si>
  <si>
    <t>D</t>
  </si>
  <si>
    <t xml:space="preserve">CST </t>
  </si>
  <si>
    <t>Representative of a general 500 MW thermal power plant</t>
  </si>
  <si>
    <t>Current Rate</t>
  </si>
  <si>
    <t>20% of O&amp;M</t>
  </si>
  <si>
    <t>CAPITAL COST</t>
  </si>
  <si>
    <t>Unit Breakup</t>
  </si>
  <si>
    <t>Cost (INR Crore/MW)</t>
  </si>
  <si>
    <t>Mauda STPS</t>
  </si>
  <si>
    <t>2x500</t>
  </si>
  <si>
    <t>Koderma TPS of DVC</t>
  </si>
  <si>
    <t>Vallur TPS</t>
  </si>
  <si>
    <t>3x500</t>
  </si>
  <si>
    <t>NLC TNPL</t>
  </si>
  <si>
    <t>Udupi</t>
  </si>
  <si>
    <t>2x600</t>
  </si>
  <si>
    <t>Indira Gandhi Super Thermal</t>
  </si>
  <si>
    <t>Raghunathpur TPS</t>
  </si>
  <si>
    <t>2X600</t>
  </si>
  <si>
    <r>
      <t xml:space="preserve">Calculated in </t>
    </r>
    <r>
      <rPr>
        <i/>
        <sz val="11"/>
        <color theme="1"/>
        <rFont val="Calibri"/>
        <family val="2"/>
        <scheme val="minor"/>
      </rPr>
      <t xml:space="preserve">Variable Charges </t>
    </r>
    <r>
      <rPr>
        <sz val="11"/>
        <color theme="1"/>
        <rFont val="Calibri"/>
        <family val="2"/>
        <scheme val="minor"/>
      </rPr>
      <t>sheet</t>
    </r>
  </si>
  <si>
    <t>Gross Station Heat Rate (SHR)</t>
  </si>
  <si>
    <t>G11</t>
  </si>
  <si>
    <t>4000 to 4300</t>
  </si>
  <si>
    <t>INR/mt</t>
  </si>
  <si>
    <t>Busy Season Surcharge (for 9 months)</t>
  </si>
  <si>
    <t>According to IR Pricing 24Jul17</t>
  </si>
  <si>
    <t>https://www.spglobal.com/platts/en/market-insights/latest-news/coal/092618-indonesian-coal-miners-to-increase-2018-production-ministry</t>
  </si>
  <si>
    <t>Clean Environment Cess</t>
  </si>
  <si>
    <t>Domestic</t>
  </si>
  <si>
    <t>Imported</t>
  </si>
  <si>
    <t>Ratio</t>
  </si>
  <si>
    <t>USD/mt</t>
  </si>
  <si>
    <t>4200 GAR</t>
  </si>
  <si>
    <t>Conversion Factor</t>
  </si>
  <si>
    <t>FY14</t>
  </si>
  <si>
    <t>Customs Duty</t>
  </si>
  <si>
    <t>Countervailing Duty</t>
  </si>
  <si>
    <t>IGST</t>
  </si>
  <si>
    <t>Busy Season Surcharge (for 9 months)*</t>
  </si>
  <si>
    <t>Development Charge*</t>
  </si>
  <si>
    <t>GST Compensation Cess</t>
  </si>
  <si>
    <t>Basic Customs Duty</t>
  </si>
  <si>
    <t>Busy Season Surcharge (for 9 months) *</t>
  </si>
  <si>
    <t>Development Charge *</t>
  </si>
  <si>
    <t>DOMESTIC+IMPORTED</t>
  </si>
  <si>
    <t>DOMESTIC</t>
  </si>
  <si>
    <r>
      <rPr>
        <b/>
        <sz val="11"/>
        <rFont val="Calibri"/>
        <family val="2"/>
        <scheme val="minor"/>
      </rPr>
      <t>[DOMESTIC]</t>
    </r>
    <r>
      <rPr>
        <b/>
        <sz val="11"/>
        <color rgb="FFFF0000"/>
        <rFont val="Calibri"/>
        <family val="2"/>
        <scheme val="minor"/>
      </rPr>
      <t xml:space="preserve"> PRE-GST</t>
    </r>
  </si>
  <si>
    <r>
      <rPr>
        <b/>
        <sz val="11"/>
        <rFont val="Calibri"/>
        <family val="2"/>
        <scheme val="minor"/>
      </rPr>
      <t>[DOMESTIC]</t>
    </r>
    <r>
      <rPr>
        <b/>
        <sz val="11"/>
        <color rgb="FFFF0000"/>
        <rFont val="Calibri"/>
        <family val="2"/>
        <scheme val="minor"/>
      </rPr>
      <t xml:space="preserve"> POST-GST</t>
    </r>
  </si>
  <si>
    <r>
      <rPr>
        <b/>
        <sz val="11"/>
        <rFont val="Calibri"/>
        <family val="2"/>
        <scheme val="minor"/>
      </rPr>
      <t>[DOMESTIC + IMPORTED]</t>
    </r>
    <r>
      <rPr>
        <b/>
        <sz val="11"/>
        <color rgb="FFFF0000"/>
        <rFont val="Calibri"/>
        <family val="2"/>
        <scheme val="minor"/>
      </rPr>
      <t xml:space="preserve"> PRE-GST</t>
    </r>
  </si>
  <si>
    <r>
      <rPr>
        <b/>
        <sz val="11"/>
        <rFont val="Calibri"/>
        <family val="2"/>
        <scheme val="minor"/>
      </rPr>
      <t>[DOMESTIC + IMPORTED]</t>
    </r>
    <r>
      <rPr>
        <b/>
        <sz val="11"/>
        <color rgb="FFFF0000"/>
        <rFont val="Calibri"/>
        <family val="2"/>
        <scheme val="minor"/>
      </rPr>
      <t xml:space="preserve"> POST-GST</t>
    </r>
  </si>
  <si>
    <t>Receivables (Variable Cost - 2 months)</t>
  </si>
  <si>
    <t>Final LCOE</t>
  </si>
  <si>
    <t>Return on Equity (ROE)</t>
  </si>
  <si>
    <t>Debt Servicing</t>
  </si>
  <si>
    <t>Accelerated Depreciation (AD) Benefit</t>
  </si>
  <si>
    <t>Ooperation and Maintenance (O&amp;M)</t>
  </si>
  <si>
    <t>Balance of System (BOS)</t>
  </si>
  <si>
    <t>Solar Park Charges</t>
  </si>
  <si>
    <t>** BOS includes power conditioning units, mounting structure and other preliminary expenses</t>
  </si>
  <si>
    <t>PV Modules</t>
  </si>
  <si>
    <t>*Where goods and services are in the 70:30 ratio as per the latest GST council notification</t>
  </si>
  <si>
    <t>%Change</t>
  </si>
  <si>
    <t>Share%</t>
  </si>
  <si>
    <t>Post-GST LCOE (INR/kWh)</t>
  </si>
  <si>
    <t>Pre-GST LCOE (INR/kWh)</t>
  </si>
  <si>
    <t>LCOE Components</t>
  </si>
  <si>
    <t>COMPARISON</t>
  </si>
  <si>
    <t>Effective Taxation</t>
  </si>
  <si>
    <t>VAT</t>
  </si>
  <si>
    <t>Goods</t>
  </si>
  <si>
    <t>Balance of System (BOS) **</t>
  </si>
  <si>
    <t>Services</t>
  </si>
  <si>
    <t>Services*</t>
  </si>
  <si>
    <t>Goods*</t>
  </si>
  <si>
    <t>BCD, ACD, SAD</t>
  </si>
  <si>
    <t>Rates</t>
  </si>
  <si>
    <t xml:space="preserve">Tax </t>
  </si>
  <si>
    <t>without any tax</t>
  </si>
  <si>
    <t>% Change in Cost</t>
  </si>
  <si>
    <t>Cost (INR Lakh/MW)</t>
  </si>
  <si>
    <t>Taxes GST</t>
  </si>
  <si>
    <t>Taxes Applicable Pre-GST</t>
  </si>
  <si>
    <t>Category</t>
  </si>
  <si>
    <t>Share %</t>
  </si>
  <si>
    <t>Components</t>
  </si>
  <si>
    <t>Solar Park O&amp;M Charges</t>
  </si>
  <si>
    <t>Other Annual Charges</t>
  </si>
  <si>
    <t>Land Lease</t>
  </si>
  <si>
    <t>SOLAR PARK RECURRING CHARGES</t>
  </si>
  <si>
    <t>Discounted</t>
  </si>
  <si>
    <t>Sum</t>
  </si>
  <si>
    <t>Tax benefit due to AD</t>
  </si>
  <si>
    <t>Net Depre. Benefit</t>
  </si>
  <si>
    <t>Accelerated Depreciation (AD)</t>
  </si>
  <si>
    <t>Book Depreciation</t>
  </si>
  <si>
    <t>Capital Cost (in INR Lakhs)</t>
  </si>
  <si>
    <t>INR/MW</t>
  </si>
  <si>
    <t>Other Charges</t>
  </si>
  <si>
    <t>Annual escalation after period of fixed charges</t>
  </si>
  <si>
    <t>ACCELERATED DEPRECIATION</t>
  </si>
  <si>
    <t>Time Period for which charges are fixed</t>
  </si>
  <si>
    <t>Initial Charges</t>
  </si>
  <si>
    <t>Land Lease Rent</t>
  </si>
  <si>
    <t>Disc. BOS</t>
  </si>
  <si>
    <t>Disc. Solar Park Charges</t>
  </si>
  <si>
    <t>Disc. PV Modules</t>
  </si>
  <si>
    <t>Disc. O&amp;M</t>
  </si>
  <si>
    <t>Additional Depreciation in the first year</t>
  </si>
  <si>
    <t>Accelerated Depreciation</t>
  </si>
  <si>
    <t>Depreciation Rate for remaining years</t>
  </si>
  <si>
    <t>Depreciation Rate for first 12 years</t>
  </si>
  <si>
    <t>Depre. BOS</t>
  </si>
  <si>
    <t>Amount of Equity (INR Lakhs)</t>
  </si>
  <si>
    <t>Depre. Solar Park Charges</t>
  </si>
  <si>
    <t>Cost of Equity</t>
  </si>
  <si>
    <t>Depre. PV Modules</t>
  </si>
  <si>
    <t>Equity Weight</t>
  </si>
  <si>
    <t>Discounted O&amp;M</t>
  </si>
  <si>
    <t>Amount of Debt (INR Lakhs)</t>
  </si>
  <si>
    <t>O&amp;M</t>
  </si>
  <si>
    <t>Cost of Debt</t>
  </si>
  <si>
    <t>Debt Weight</t>
  </si>
  <si>
    <t>LCOE</t>
  </si>
  <si>
    <t>Accelerated Depreciation Benefit</t>
  </si>
  <si>
    <t>Total (INR Lakhs)</t>
  </si>
  <si>
    <t>O&amp;M Cost (in INR Lakhs)</t>
  </si>
  <si>
    <t>Costs (in INR Lakh)</t>
  </si>
  <si>
    <t>Operation and Maintenance</t>
  </si>
  <si>
    <t>Capacity Utilization Factor (CUF)</t>
  </si>
  <si>
    <t>Electricity Generation (in kWh)</t>
  </si>
  <si>
    <t>Capacity (in MW)</t>
  </si>
  <si>
    <t xml:space="preserve">O&amp;M </t>
  </si>
  <si>
    <t xml:space="preserve">O&amp;M Cost (in INR Lakhs) </t>
  </si>
  <si>
    <t>Costs (in INR Lakhs)</t>
  </si>
  <si>
    <t>INR lakhs</t>
  </si>
  <si>
    <t>Receivables</t>
  </si>
  <si>
    <t>SPM Post-GST</t>
  </si>
  <si>
    <t>SPM Pre-GST</t>
  </si>
  <si>
    <t>MUs</t>
  </si>
  <si>
    <t>Energy Measured</t>
  </si>
  <si>
    <t>WC Requirement</t>
  </si>
  <si>
    <t>Spares and Maintenance</t>
  </si>
  <si>
    <t>Sheet Name</t>
  </si>
  <si>
    <t>Description</t>
  </si>
  <si>
    <t>S - Solar Park Model</t>
  </si>
  <si>
    <t>S - SPM Pre-GST</t>
  </si>
  <si>
    <t>S - SPM Post-GST</t>
  </si>
  <si>
    <t>S - Generation</t>
  </si>
  <si>
    <t>S - Working Capital</t>
  </si>
  <si>
    <t>C - Assumptions</t>
  </si>
  <si>
    <t>C_D - Pre-GST LCOE</t>
  </si>
  <si>
    <t>C_D - Post-GST LCOE</t>
  </si>
  <si>
    <t>C_DI - Pre-GST LCOE</t>
  </si>
  <si>
    <t>C_DI - Post-GST LCOE</t>
  </si>
  <si>
    <t>C_D - VC</t>
  </si>
  <si>
    <t>C_D - Energy Charges</t>
  </si>
  <si>
    <t>C_DI - VC</t>
  </si>
  <si>
    <t>C_DI - Energy Charges</t>
  </si>
  <si>
    <t>C - Generation</t>
  </si>
  <si>
    <t>C - Capital Cost</t>
  </si>
  <si>
    <t>C - O&amp;M</t>
  </si>
  <si>
    <t>C - RoE</t>
  </si>
  <si>
    <t>C - Depreciation</t>
  </si>
  <si>
    <t>C - Interest on Loan</t>
  </si>
  <si>
    <t>C - Interest on WC</t>
  </si>
  <si>
    <t>C - Hard Cost</t>
  </si>
  <si>
    <t>Exchange Rate</t>
  </si>
  <si>
    <t>Summary of the taxes applicable pre- and post-GST, and results of the analysis</t>
  </si>
  <si>
    <t>Color Code</t>
  </si>
  <si>
    <t>Pre-GST LCOE calculation</t>
  </si>
  <si>
    <t>Post-GST LCOE calculation</t>
  </si>
  <si>
    <t>Annual generation of the solar power plant and calculation of pre- and post-GST receivables</t>
  </si>
  <si>
    <t xml:space="preserve">Calculation of pre- and post-GST interest on working capital </t>
  </si>
  <si>
    <t>Operation characteristics and financial assumptions for the estimation of LCOE of a representative coal thermal power plant</t>
  </si>
  <si>
    <t>Capital cost of the representative TPP and debt-equity breakup</t>
  </si>
  <si>
    <t>Calculation of operation and maintenance cost for pre- and post-GST period CASE I and II</t>
  </si>
  <si>
    <t>Calculation of return on equity for pre- and post-GST period in CASE I and II</t>
  </si>
  <si>
    <t>Calculation of depreciation for pre- and post-GST period in CASE I and II</t>
  </si>
  <si>
    <t>Annual generation of the TPP and calculation of pre- and post-GST receivables for CASE I and II</t>
  </si>
  <si>
    <t>Calculation of energy charges for a TPP in CASE II in pre- and post-GST period</t>
  </si>
  <si>
    <t>Variable cost build-up for a TPP in CASE II in pre- and post-GST period</t>
  </si>
  <si>
    <t>Calculation of energy charges for a TPP in CASE I in pre- and post-GST period</t>
  </si>
  <si>
    <t>Variable cost build-up for a TPP in CASE I in pre- and post-GST period</t>
  </si>
  <si>
    <t>Calculation of post-GST LCOE of a thermal power plant (TPP) in CASE II</t>
  </si>
  <si>
    <t>Calculation of pre-GST LCOE of a thermal power plant (TPP) in CASE II</t>
  </si>
  <si>
    <t xml:space="preserve">Calculation of post-GST LCOE of a thermal power plant (TPP) in CASE I </t>
  </si>
  <si>
    <t xml:space="preserve">Calculation of pre-GST LCOE of a thermal power plant (TPP) in CASE I </t>
  </si>
  <si>
    <t xml:space="preserve">CASE I </t>
  </si>
  <si>
    <t>CASE II</t>
  </si>
  <si>
    <t>A thermal power plant (TPP) with a combination of domestic and imported coal in 70:30 ratio as the source of fuel</t>
  </si>
  <si>
    <t>A thermal power plant (TPP) with domestic coal as the source of fuel</t>
  </si>
  <si>
    <t>Calculation of interest on loan for pre- and post-GST period in CASE I and II</t>
  </si>
  <si>
    <t>Calculation of interest on working capital for pre- and post-GST period in CASE I and II</t>
  </si>
  <si>
    <t>Calculation of hard cost for pre- and post-GST period in CASE I and II</t>
  </si>
  <si>
    <t>Source: RBI</t>
  </si>
  <si>
    <t>Conversion factor for currency (USD to INR). Source: RBI</t>
  </si>
  <si>
    <r>
      <t xml:space="preserve">Calculated in </t>
    </r>
    <r>
      <rPr>
        <i/>
        <sz val="11"/>
        <color theme="1"/>
        <rFont val="Calibri"/>
        <family val="2"/>
        <scheme val="minor"/>
      </rPr>
      <t>C 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Interest on Loan </t>
    </r>
    <r>
      <rPr>
        <sz val="11"/>
        <color theme="1"/>
        <rFont val="Calibri"/>
        <family val="2"/>
        <scheme val="minor"/>
      </rPr>
      <t>sheet</t>
    </r>
  </si>
  <si>
    <r>
      <t xml:space="preserve">Calculated in </t>
    </r>
    <r>
      <rPr>
        <i/>
        <sz val="11"/>
        <color theme="1"/>
        <rFont val="Calibri"/>
        <family val="2"/>
        <scheme val="minor"/>
      </rPr>
      <t xml:space="preserve">C - RoE </t>
    </r>
    <r>
      <rPr>
        <sz val="11"/>
        <color theme="1"/>
        <rFont val="Calibri"/>
        <family val="2"/>
        <scheme val="minor"/>
      </rPr>
      <t>sheet</t>
    </r>
  </si>
  <si>
    <r>
      <t xml:space="preserve">Assumed as shown in </t>
    </r>
    <r>
      <rPr>
        <i/>
        <sz val="11"/>
        <color theme="1"/>
        <rFont val="Calibri"/>
        <family val="2"/>
        <scheme val="minor"/>
      </rPr>
      <t>C 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O&amp;M </t>
    </r>
    <r>
      <rPr>
        <sz val="11"/>
        <color theme="1"/>
        <rFont val="Calibri"/>
        <family val="2"/>
        <scheme val="minor"/>
      </rPr>
      <t>sheet for this particular capacity</t>
    </r>
  </si>
  <si>
    <t>Sources: Their respective petitions for approval of tariff</t>
  </si>
  <si>
    <t>Percentage change</t>
  </si>
  <si>
    <t>Levelized (INR/kWh)</t>
  </si>
  <si>
    <t>For Levelized Benefit</t>
  </si>
  <si>
    <t>Levelized Units</t>
  </si>
  <si>
    <t>Levelized Costs (INR/kWh)</t>
  </si>
  <si>
    <t>Levelized (kWh)</t>
  </si>
  <si>
    <t>Levelized Tariff</t>
  </si>
  <si>
    <t>* - The Busy Season Surcharge and Development Charge has been subsumed under the latest IR Pricing released on January 8, 2018. However, because this was not a change made due to the introduction of GST, freight rates have been kept constant for the post-GST calculation to assess the GST-specific impact on LCOE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</si>
</sst>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%"/>
    <numFmt numFmtId="165" formatCode="_-* #,##0.0000_-;\-* #,##0.0000_-;_-* &quot;-&quot;??_-;_-@_-"/>
    <numFmt numFmtId="166" formatCode="_-* #,##0_-;\-* #,##0_-;_-* &quot;-&quot;??_-;_-@_-"/>
    <numFmt numFmtId="167" formatCode="_-* #,##0.0_-;\-* #,##0.0_-;_-* &quot;-&quot;??_-;_-@_-"/>
    <numFmt numFmtId="168" formatCode="0.0%"/>
    <numFmt numFmtId="169" formatCode="_-* #,##0.00000_-;\-* #,##0.0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16" borderId="64" applyNumberFormat="0" applyAlignment="0" applyProtection="0"/>
  </cellStyleXfs>
  <cellXfs count="59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3" xfId="0" applyBorder="1"/>
    <xf numFmtId="0" fontId="4" fillId="0" borderId="4" xfId="0" applyFont="1" applyBorder="1"/>
    <xf numFmtId="0" fontId="0" fillId="0" borderId="4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12" xfId="2" applyBorder="1"/>
    <xf numFmtId="0" fontId="3" fillId="3" borderId="12" xfId="3" applyBorder="1"/>
    <xf numFmtId="0" fontId="0" fillId="0" borderId="12" xfId="0" applyBorder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3" xfId="0" applyBorder="1"/>
    <xf numFmtId="0" fontId="0" fillId="0" borderId="15" xfId="0" applyBorder="1" applyAlignment="1">
      <alignment horizontal="center"/>
    </xf>
    <xf numFmtId="43" fontId="0" fillId="0" borderId="16" xfId="0" applyNumberFormat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4" fillId="0" borderId="17" xfId="0" applyFont="1" applyBorder="1"/>
    <xf numFmtId="43" fontId="0" fillId="0" borderId="20" xfId="0" applyNumberFormat="1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4" fillId="0" borderId="8" xfId="0" applyFont="1" applyBorder="1"/>
    <xf numFmtId="0" fontId="4" fillId="0" borderId="25" xfId="0" applyFont="1" applyBorder="1" applyAlignment="1">
      <alignment horizontal="center"/>
    </xf>
    <xf numFmtId="0" fontId="0" fillId="6" borderId="0" xfId="0" applyFill="1"/>
    <xf numFmtId="0" fontId="4" fillId="7" borderId="22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0" fillId="0" borderId="27" xfId="0" applyBorder="1" applyAlignment="1">
      <alignment wrapText="1"/>
    </xf>
    <xf numFmtId="43" fontId="0" fillId="0" borderId="28" xfId="0" applyNumberFormat="1" applyBorder="1"/>
    <xf numFmtId="9" fontId="0" fillId="0" borderId="29" xfId="0" applyNumberFormat="1" applyBorder="1"/>
    <xf numFmtId="0" fontId="0" fillId="0" borderId="17" xfId="0" applyBorder="1" applyAlignment="1">
      <alignment wrapText="1"/>
    </xf>
    <xf numFmtId="9" fontId="0" fillId="0" borderId="20" xfId="0" applyNumberFormat="1" applyBorder="1"/>
    <xf numFmtId="0" fontId="4" fillId="0" borderId="21" xfId="0" applyFont="1" applyBorder="1" applyAlignment="1">
      <alignment wrapText="1"/>
    </xf>
    <xf numFmtId="43" fontId="4" fillId="0" borderId="22" xfId="0" applyNumberFormat="1" applyFont="1" applyBorder="1"/>
    <xf numFmtId="9" fontId="4" fillId="0" borderId="24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2" fontId="0" fillId="0" borderId="0" xfId="0" applyNumberFormat="1"/>
    <xf numFmtId="10" fontId="0" fillId="0" borderId="0" xfId="1" applyNumberFormat="1" applyFont="1"/>
    <xf numFmtId="10" fontId="0" fillId="0" borderId="3" xfId="1" applyNumberFormat="1" applyFont="1" applyBorder="1"/>
    <xf numFmtId="0" fontId="0" fillId="0" borderId="25" xfId="0" applyBorder="1"/>
    <xf numFmtId="10" fontId="0" fillId="0" borderId="25" xfId="1" applyNumberFormat="1" applyFont="1" applyBorder="1"/>
    <xf numFmtId="10" fontId="0" fillId="0" borderId="4" xfId="1" applyNumberFormat="1" applyFont="1" applyBorder="1"/>
    <xf numFmtId="0" fontId="4" fillId="0" borderId="6" xfId="0" applyFont="1" applyBorder="1"/>
    <xf numFmtId="0" fontId="4" fillId="6" borderId="9" xfId="0" applyFont="1" applyFill="1" applyBorder="1" applyAlignment="1">
      <alignment wrapText="1"/>
    </xf>
    <xf numFmtId="0" fontId="4" fillId="6" borderId="6" xfId="0" applyFont="1" applyFill="1" applyBorder="1"/>
    <xf numFmtId="0" fontId="4" fillId="6" borderId="30" xfId="0" applyFont="1" applyFill="1" applyBorder="1"/>
    <xf numFmtId="0" fontId="0" fillId="8" borderId="10" xfId="0" applyFill="1" applyBorder="1" applyAlignment="1">
      <alignment wrapText="1"/>
    </xf>
    <xf numFmtId="0" fontId="0" fillId="8" borderId="3" xfId="0" applyFill="1" applyBorder="1"/>
    <xf numFmtId="2" fontId="0" fillId="8" borderId="0" xfId="0" applyNumberFormat="1" applyFill="1"/>
    <xf numFmtId="2" fontId="0" fillId="8" borderId="3" xfId="0" applyNumberFormat="1" applyFill="1" applyBorder="1"/>
    <xf numFmtId="0" fontId="4" fillId="0" borderId="11" xfId="0" applyFont="1" applyBorder="1" applyAlignment="1">
      <alignment wrapText="1"/>
    </xf>
    <xf numFmtId="0" fontId="4" fillId="4" borderId="9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43" fontId="0" fillId="0" borderId="0" xfId="5" applyFont="1"/>
    <xf numFmtId="43" fontId="0" fillId="0" borderId="3" xfId="5" applyFont="1" applyBorder="1"/>
    <xf numFmtId="43" fontId="0" fillId="0" borderId="25" xfId="5" applyFont="1" applyBorder="1"/>
    <xf numFmtId="43" fontId="0" fillId="0" borderId="4" xfId="5" applyFont="1" applyBorder="1"/>
    <xf numFmtId="43" fontId="4" fillId="0" borderId="25" xfId="5" applyFont="1" applyBorder="1"/>
    <xf numFmtId="43" fontId="4" fillId="0" borderId="4" xfId="5" applyFont="1" applyBorder="1"/>
    <xf numFmtId="43" fontId="0" fillId="0" borderId="12" xfId="5" applyFont="1" applyBorder="1"/>
    <xf numFmtId="10" fontId="0" fillId="0" borderId="12" xfId="1" applyNumberFormat="1" applyFont="1" applyBorder="1"/>
    <xf numFmtId="164" fontId="0" fillId="0" borderId="12" xfId="1" applyNumberFormat="1" applyFont="1" applyBorder="1"/>
    <xf numFmtId="0" fontId="0" fillId="0" borderId="31" xfId="0" applyBorder="1"/>
    <xf numFmtId="43" fontId="0" fillId="0" borderId="20" xfId="5" applyFont="1" applyBorder="1"/>
    <xf numFmtId="10" fontId="0" fillId="0" borderId="20" xfId="1" applyNumberFormat="1" applyFont="1" applyBorder="1"/>
    <xf numFmtId="164" fontId="0" fillId="0" borderId="20" xfId="1" applyNumberFormat="1" applyFont="1" applyBorder="1"/>
    <xf numFmtId="43" fontId="0" fillId="0" borderId="18" xfId="5" applyFont="1" applyBorder="1"/>
    <xf numFmtId="10" fontId="0" fillId="0" borderId="18" xfId="1" applyNumberFormat="1" applyFont="1" applyBorder="1"/>
    <xf numFmtId="164" fontId="0" fillId="0" borderId="18" xfId="1" applyNumberFormat="1" applyFont="1" applyBorder="1"/>
    <xf numFmtId="0" fontId="0" fillId="0" borderId="20" xfId="0" applyBorder="1"/>
    <xf numFmtId="0" fontId="0" fillId="0" borderId="34" xfId="0" applyBorder="1"/>
    <xf numFmtId="0" fontId="0" fillId="0" borderId="29" xfId="0" applyBorder="1"/>
    <xf numFmtId="43" fontId="0" fillId="0" borderId="28" xfId="5" applyFont="1" applyBorder="1"/>
    <xf numFmtId="43" fontId="0" fillId="0" borderId="35" xfId="5" applyFont="1" applyBorder="1"/>
    <xf numFmtId="43" fontId="0" fillId="0" borderId="29" xfId="5" applyFont="1" applyBorder="1"/>
    <xf numFmtId="0" fontId="4" fillId="9" borderId="9" xfId="0" applyFont="1" applyFill="1" applyBorder="1"/>
    <xf numFmtId="0" fontId="4" fillId="9" borderId="36" xfId="0" applyFont="1" applyFill="1" applyBorder="1"/>
    <xf numFmtId="0" fontId="4" fillId="9" borderId="37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0" borderId="32" xfId="0" applyFont="1" applyBorder="1"/>
    <xf numFmtId="0" fontId="4" fillId="0" borderId="24" xfId="0" applyFont="1" applyBorder="1"/>
    <xf numFmtId="43" fontId="4" fillId="0" borderId="22" xfId="5" applyFont="1" applyBorder="1"/>
    <xf numFmtId="43" fontId="4" fillId="0" borderId="33" xfId="5" applyFont="1" applyBorder="1"/>
    <xf numFmtId="43" fontId="4" fillId="0" borderId="24" xfId="5" applyFont="1" applyBorder="1"/>
    <xf numFmtId="0" fontId="4" fillId="0" borderId="31" xfId="0" applyFont="1" applyBorder="1"/>
    <xf numFmtId="0" fontId="4" fillId="0" borderId="20" xfId="0" applyFont="1" applyBorder="1"/>
    <xf numFmtId="43" fontId="4" fillId="0" borderId="18" xfId="5" applyFont="1" applyBorder="1"/>
    <xf numFmtId="43" fontId="4" fillId="0" borderId="12" xfId="5" applyFont="1" applyBorder="1"/>
    <xf numFmtId="43" fontId="4" fillId="0" borderId="20" xfId="5" applyFont="1" applyBorder="1"/>
    <xf numFmtId="164" fontId="4" fillId="0" borderId="18" xfId="1" applyNumberFormat="1" applyFont="1" applyBorder="1"/>
    <xf numFmtId="164" fontId="4" fillId="0" borderId="12" xfId="1" applyNumberFormat="1" applyFont="1" applyBorder="1"/>
    <xf numFmtId="164" fontId="4" fillId="0" borderId="20" xfId="1" applyNumberFormat="1" applyFont="1" applyBorder="1"/>
    <xf numFmtId="0" fontId="0" fillId="0" borderId="0" xfId="0" applyAlignment="1">
      <alignment horizontal="center" wrapText="1"/>
    </xf>
    <xf numFmtId="0" fontId="4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29" xfId="0" applyFont="1" applyBorder="1"/>
    <xf numFmtId="0" fontId="4" fillId="9" borderId="9" xfId="0" applyFont="1" applyFill="1" applyBorder="1" applyAlignment="1">
      <alignment horizontal="center" wrapText="1"/>
    </xf>
    <xf numFmtId="43" fontId="4" fillId="0" borderId="28" xfId="5" applyFont="1" applyBorder="1"/>
    <xf numFmtId="43" fontId="4" fillId="0" borderId="35" xfId="5" applyFont="1" applyBorder="1"/>
    <xf numFmtId="43" fontId="4" fillId="0" borderId="29" xfId="5" applyFont="1" applyBorder="1"/>
    <xf numFmtId="9" fontId="0" fillId="0" borderId="0" xfId="0" applyNumberFormat="1"/>
    <xf numFmtId="43" fontId="0" fillId="0" borderId="0" xfId="0" applyNumberFormat="1"/>
    <xf numFmtId="43" fontId="0" fillId="0" borderId="12" xfId="0" applyNumberFormat="1" applyBorder="1"/>
    <xf numFmtId="0" fontId="4" fillId="0" borderId="32" xfId="0" applyFont="1" applyBorder="1" applyAlignment="1">
      <alignment wrapText="1"/>
    </xf>
    <xf numFmtId="0" fontId="0" fillId="0" borderId="33" xfId="0" applyBorder="1"/>
    <xf numFmtId="0" fontId="0" fillId="0" borderId="24" xfId="0" applyBorder="1"/>
    <xf numFmtId="0" fontId="0" fillId="0" borderId="35" xfId="0" applyBorder="1"/>
    <xf numFmtId="43" fontId="0" fillId="0" borderId="18" xfId="0" applyNumberFormat="1" applyBorder="1"/>
    <xf numFmtId="0" fontId="4" fillId="9" borderId="9" xfId="0" applyFont="1" applyFill="1" applyBorder="1" applyAlignment="1">
      <alignment horizontal="center"/>
    </xf>
    <xf numFmtId="165" fontId="0" fillId="0" borderId="0" xfId="5" applyNumberFormat="1" applyFont="1"/>
    <xf numFmtId="43" fontId="4" fillId="0" borderId="0" xfId="0" applyNumberFormat="1" applyFont="1"/>
    <xf numFmtId="10" fontId="0" fillId="0" borderId="18" xfId="0" applyNumberFormat="1" applyBorder="1"/>
    <xf numFmtId="43" fontId="0" fillId="0" borderId="22" xfId="5" applyFont="1" applyBorder="1"/>
    <xf numFmtId="43" fontId="0" fillId="0" borderId="33" xfId="5" applyFont="1" applyBorder="1"/>
    <xf numFmtId="43" fontId="0" fillId="0" borderId="24" xfId="5" applyFont="1" applyBorder="1"/>
    <xf numFmtId="0" fontId="4" fillId="0" borderId="36" xfId="0" applyFont="1" applyBorder="1"/>
    <xf numFmtId="0" fontId="4" fillId="11" borderId="9" xfId="0" applyFont="1" applyFill="1" applyBorder="1"/>
    <xf numFmtId="0" fontId="4" fillId="11" borderId="36" xfId="0" applyFont="1" applyFill="1" applyBorder="1"/>
    <xf numFmtId="0" fontId="4" fillId="11" borderId="37" xfId="5" applyNumberFormat="1" applyFont="1" applyFill="1" applyBorder="1" applyAlignment="1">
      <alignment horizontal="center"/>
    </xf>
    <xf numFmtId="0" fontId="4" fillId="11" borderId="38" xfId="5" applyNumberFormat="1" applyFont="1" applyFill="1" applyBorder="1" applyAlignment="1">
      <alignment horizontal="center"/>
    </xf>
    <xf numFmtId="0" fontId="4" fillId="11" borderId="36" xfId="5" applyNumberFormat="1" applyFont="1" applyFill="1" applyBorder="1" applyAlignment="1">
      <alignment horizontal="center"/>
    </xf>
    <xf numFmtId="0" fontId="0" fillId="10" borderId="2" xfId="0" applyFill="1" applyBorder="1"/>
    <xf numFmtId="0" fontId="0" fillId="10" borderId="3" xfId="0" applyFill="1" applyBorder="1" applyAlignment="1">
      <alignment horizontal="center"/>
    </xf>
    <xf numFmtId="0" fontId="4" fillId="12" borderId="5" xfId="0" applyFont="1" applyFill="1" applyBorder="1"/>
    <xf numFmtId="0" fontId="4" fillId="12" borderId="6" xfId="0" applyFont="1" applyFill="1" applyBorder="1" applyAlignment="1">
      <alignment horizontal="center"/>
    </xf>
    <xf numFmtId="0" fontId="0" fillId="9" borderId="5" xfId="0" applyFill="1" applyBorder="1"/>
    <xf numFmtId="0" fontId="4" fillId="9" borderId="6" xfId="0" applyFont="1" applyFill="1" applyBorder="1" applyAlignment="1">
      <alignment horizontal="center"/>
    </xf>
    <xf numFmtId="0" fontId="0" fillId="9" borderId="38" xfId="0" applyFill="1" applyBorder="1"/>
    <xf numFmtId="0" fontId="0" fillId="10" borderId="42" xfId="0" applyFill="1" applyBorder="1"/>
    <xf numFmtId="0" fontId="4" fillId="12" borderId="38" xfId="0" applyFont="1" applyFill="1" applyBorder="1"/>
    <xf numFmtId="0" fontId="0" fillId="0" borderId="7" xfId="0" applyBorder="1"/>
    <xf numFmtId="0" fontId="0" fillId="9" borderId="1" xfId="0" applyFill="1" applyBorder="1"/>
    <xf numFmtId="10" fontId="0" fillId="0" borderId="7" xfId="0" applyNumberFormat="1" applyBorder="1"/>
    <xf numFmtId="43" fontId="0" fillId="0" borderId="7" xfId="5" applyFont="1" applyBorder="1"/>
    <xf numFmtId="43" fontId="4" fillId="12" borderId="1" xfId="0" applyNumberFormat="1" applyFont="1" applyFill="1" applyBorder="1"/>
    <xf numFmtId="0" fontId="0" fillId="0" borderId="32" xfId="0" applyBorder="1"/>
    <xf numFmtId="0" fontId="0" fillId="0" borderId="9" xfId="0" applyBorder="1"/>
    <xf numFmtId="0" fontId="0" fillId="0" borderId="40" xfId="0" applyBorder="1"/>
    <xf numFmtId="9" fontId="0" fillId="0" borderId="43" xfId="0" applyNumberFormat="1" applyBorder="1"/>
    <xf numFmtId="9" fontId="0" fillId="0" borderId="44" xfId="0" applyNumberFormat="1" applyBorder="1"/>
    <xf numFmtId="164" fontId="3" fillId="3" borderId="44" xfId="1" applyNumberFormat="1" applyFont="1" applyFill="1" applyBorder="1"/>
    <xf numFmtId="164" fontId="0" fillId="0" borderId="44" xfId="0" applyNumberFormat="1" applyBorder="1"/>
    <xf numFmtId="164" fontId="0" fillId="0" borderId="45" xfId="0" applyNumberFormat="1" applyBorder="1"/>
    <xf numFmtId="9" fontId="0" fillId="0" borderId="46" xfId="0" applyNumberFormat="1" applyBorder="1"/>
    <xf numFmtId="10" fontId="0" fillId="0" borderId="44" xfId="0" applyNumberFormat="1" applyBorder="1"/>
    <xf numFmtId="10" fontId="0" fillId="0" borderId="45" xfId="0" applyNumberFormat="1" applyBorder="1"/>
    <xf numFmtId="0" fontId="0" fillId="0" borderId="16" xfId="0" applyBorder="1"/>
    <xf numFmtId="0" fontId="0" fillId="0" borderId="49" xfId="0" applyBorder="1"/>
    <xf numFmtId="0" fontId="0" fillId="0" borderId="50" xfId="0" applyBorder="1"/>
    <xf numFmtId="10" fontId="0" fillId="0" borderId="48" xfId="1" applyNumberFormat="1" applyFont="1" applyBorder="1"/>
    <xf numFmtId="10" fontId="0" fillId="0" borderId="48" xfId="0" applyNumberFormat="1" applyBorder="1"/>
    <xf numFmtId="43" fontId="2" fillId="2" borderId="43" xfId="5" applyFont="1" applyFill="1" applyBorder="1"/>
    <xf numFmtId="43" fontId="2" fillId="2" borderId="44" xfId="5" applyFont="1" applyFill="1" applyBorder="1"/>
    <xf numFmtId="43" fontId="9" fillId="2" borderId="7" xfId="5" applyFont="1" applyFill="1" applyBorder="1"/>
    <xf numFmtId="43" fontId="9" fillId="0" borderId="7" xfId="5" applyFont="1" applyBorder="1"/>
    <xf numFmtId="43" fontId="4" fillId="0" borderId="26" xfId="0" applyNumberFormat="1" applyFont="1" applyBorder="1"/>
    <xf numFmtId="0" fontId="0" fillId="0" borderId="51" xfId="0" applyBorder="1"/>
    <xf numFmtId="0" fontId="0" fillId="0" borderId="52" xfId="0" applyBorder="1" applyAlignment="1">
      <alignment horizontal="center"/>
    </xf>
    <xf numFmtId="43" fontId="0" fillId="0" borderId="50" xfId="5" applyFont="1" applyBorder="1"/>
    <xf numFmtId="0" fontId="4" fillId="0" borderId="1" xfId="0" applyFont="1" applyBorder="1"/>
    <xf numFmtId="0" fontId="4" fillId="0" borderId="30" xfId="0" applyFont="1" applyBorder="1" applyAlignment="1">
      <alignment horizontal="center"/>
    </xf>
    <xf numFmtId="43" fontId="4" fillId="0" borderId="36" xfId="0" applyNumberFormat="1" applyFont="1" applyBorder="1"/>
    <xf numFmtId="10" fontId="0" fillId="0" borderId="43" xfId="0" applyNumberFormat="1" applyBorder="1"/>
    <xf numFmtId="10" fontId="0" fillId="0" borderId="18" xfId="5" applyNumberFormat="1" applyFont="1" applyBorder="1"/>
    <xf numFmtId="10" fontId="0" fillId="0" borderId="12" xfId="5" applyNumberFormat="1" applyFont="1" applyBorder="1"/>
    <xf numFmtId="0" fontId="0" fillId="0" borderId="32" xfId="0" applyBorder="1" applyAlignment="1">
      <alignment wrapText="1"/>
    </xf>
    <xf numFmtId="43" fontId="9" fillId="0" borderId="48" xfId="5" applyFont="1" applyBorder="1"/>
    <xf numFmtId="43" fontId="3" fillId="3" borderId="48" xfId="3" applyNumberFormat="1" applyBorder="1"/>
    <xf numFmtId="167" fontId="0" fillId="0" borderId="48" xfId="5" applyNumberFormat="1" applyFont="1" applyBorder="1"/>
    <xf numFmtId="0" fontId="10" fillId="0" borderId="0" xfId="6"/>
    <xf numFmtId="9" fontId="0" fillId="0" borderId="12" xfId="0" applyNumberFormat="1" applyBorder="1"/>
    <xf numFmtId="43" fontId="2" fillId="2" borderId="12" xfId="5" applyFont="1" applyFill="1" applyBorder="1"/>
    <xf numFmtId="10" fontId="0" fillId="0" borderId="12" xfId="0" applyNumberFormat="1" applyBorder="1"/>
    <xf numFmtId="0" fontId="4" fillId="4" borderId="9" xfId="0" applyFont="1" applyFill="1" applyBorder="1"/>
    <xf numFmtId="0" fontId="4" fillId="4" borderId="38" xfId="0" applyFont="1" applyFill="1" applyBorder="1"/>
    <xf numFmtId="0" fontId="4" fillId="4" borderId="36" xfId="0" applyFont="1" applyFill="1" applyBorder="1"/>
    <xf numFmtId="0" fontId="2" fillId="2" borderId="35" xfId="2" applyBorder="1"/>
    <xf numFmtId="0" fontId="2" fillId="2" borderId="40" xfId="2" applyBorder="1"/>
    <xf numFmtId="166" fontId="2" fillId="2" borderId="16" xfId="5" applyNumberFormat="1" applyFont="1" applyFill="1" applyBorder="1"/>
    <xf numFmtId="166" fontId="0" fillId="0" borderId="20" xfId="5" applyNumberFormat="1" applyFont="1" applyBorder="1"/>
    <xf numFmtId="0" fontId="4" fillId="13" borderId="33" xfId="0" applyFont="1" applyFill="1" applyBorder="1"/>
    <xf numFmtId="0" fontId="0" fillId="13" borderId="33" xfId="0" applyFill="1" applyBorder="1"/>
    <xf numFmtId="43" fontId="4" fillId="13" borderId="24" xfId="5" applyFont="1" applyFill="1" applyBorder="1"/>
    <xf numFmtId="166" fontId="0" fillId="0" borderId="16" xfId="5" applyNumberFormat="1" applyFont="1" applyBorder="1"/>
    <xf numFmtId="0" fontId="4" fillId="0" borderId="35" xfId="0" applyFont="1" applyBorder="1"/>
    <xf numFmtId="9" fontId="0" fillId="0" borderId="40" xfId="0" applyNumberFormat="1" applyBorder="1"/>
    <xf numFmtId="43" fontId="0" fillId="0" borderId="16" xfId="5" applyFont="1" applyBorder="1"/>
    <xf numFmtId="0" fontId="4" fillId="0" borderId="33" xfId="0" applyFont="1" applyBorder="1"/>
    <xf numFmtId="0" fontId="4" fillId="0" borderId="34" xfId="0" applyFont="1" applyBorder="1"/>
    <xf numFmtId="0" fontId="4" fillId="13" borderId="32" xfId="0" applyFont="1" applyFill="1" applyBorder="1"/>
    <xf numFmtId="0" fontId="0" fillId="0" borderId="47" xfId="0" applyBorder="1"/>
    <xf numFmtId="166" fontId="0" fillId="0" borderId="29" xfId="5" applyNumberFormat="1" applyFont="1" applyBorder="1"/>
    <xf numFmtId="0" fontId="0" fillId="0" borderId="39" xfId="0" applyBorder="1"/>
    <xf numFmtId="9" fontId="0" fillId="0" borderId="35" xfId="0" applyNumberFormat="1" applyBorder="1"/>
    <xf numFmtId="0" fontId="4" fillId="13" borderId="0" xfId="0" applyFont="1" applyFill="1"/>
    <xf numFmtId="0" fontId="4" fillId="0" borderId="0" xfId="0" applyFont="1" applyAlignment="1">
      <alignment horizontal="center" vertical="center" wrapText="1"/>
    </xf>
    <xf numFmtId="0" fontId="4" fillId="13" borderId="5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13" borderId="21" xfId="0" applyFont="1" applyFill="1" applyBorder="1" applyAlignment="1">
      <alignment horizontal="center" wrapText="1"/>
    </xf>
    <xf numFmtId="0" fontId="4" fillId="13" borderId="51" xfId="0" applyFont="1" applyFill="1" applyBorder="1" applyAlignment="1">
      <alignment horizontal="center" wrapText="1"/>
    </xf>
    <xf numFmtId="43" fontId="2" fillId="2" borderId="48" xfId="2" applyNumberFormat="1" applyBorder="1"/>
    <xf numFmtId="166" fontId="0" fillId="0" borderId="12" xfId="5" applyNumberFormat="1" applyFont="1" applyBorder="1"/>
    <xf numFmtId="0" fontId="2" fillId="2" borderId="16" xfId="2" applyBorder="1" applyAlignment="1">
      <alignment horizontal="center"/>
    </xf>
    <xf numFmtId="166" fontId="2" fillId="2" borderId="40" xfId="5" applyNumberFormat="1" applyFont="1" applyFill="1" applyBorder="1"/>
    <xf numFmtId="43" fontId="4" fillId="13" borderId="33" xfId="5" applyFont="1" applyFill="1" applyBorder="1"/>
    <xf numFmtId="166" fontId="0" fillId="0" borderId="40" xfId="5" applyNumberFormat="1" applyFont="1" applyBorder="1"/>
    <xf numFmtId="43" fontId="2" fillId="2" borderId="20" xfId="5" applyFont="1" applyFill="1" applyBorder="1"/>
    <xf numFmtId="43" fontId="0" fillId="0" borderId="40" xfId="5" applyFont="1" applyBorder="1"/>
    <xf numFmtId="166" fontId="2" fillId="2" borderId="35" xfId="5" applyNumberFormat="1" applyFont="1" applyFill="1" applyBorder="1"/>
    <xf numFmtId="43" fontId="4" fillId="4" borderId="36" xfId="5" applyFont="1" applyFill="1" applyBorder="1"/>
    <xf numFmtId="43" fontId="2" fillId="2" borderId="16" xfId="5" applyFont="1" applyFill="1" applyBorder="1" applyAlignment="1">
      <alignment horizontal="center"/>
    </xf>
    <xf numFmtId="43" fontId="0" fillId="0" borderId="20" xfId="5" applyFont="1" applyBorder="1" applyAlignment="1">
      <alignment horizontal="center"/>
    </xf>
    <xf numFmtId="43" fontId="2" fillId="2" borderId="16" xfId="5" applyFont="1" applyFill="1" applyBorder="1"/>
    <xf numFmtId="43" fontId="2" fillId="2" borderId="29" xfId="5" applyFont="1" applyFill="1" applyBorder="1"/>
    <xf numFmtId="166" fontId="0" fillId="0" borderId="24" xfId="5" applyNumberFormat="1" applyFont="1" applyBorder="1" applyAlignment="1">
      <alignment horizontal="center"/>
    </xf>
    <xf numFmtId="166" fontId="0" fillId="0" borderId="33" xfId="5" applyNumberFormat="1" applyFont="1" applyBorder="1"/>
    <xf numFmtId="9" fontId="0" fillId="0" borderId="12" xfId="1" applyFont="1" applyBorder="1"/>
    <xf numFmtId="166" fontId="0" fillId="0" borderId="35" xfId="5" applyNumberFormat="1" applyFont="1" applyBorder="1"/>
    <xf numFmtId="10" fontId="0" fillId="0" borderId="35" xfId="0" applyNumberFormat="1" applyBorder="1"/>
    <xf numFmtId="43" fontId="4" fillId="13" borderId="49" xfId="5" applyFont="1" applyFill="1" applyBorder="1"/>
    <xf numFmtId="43" fontId="4" fillId="13" borderId="50" xfId="5" applyFont="1" applyFill="1" applyBorder="1"/>
    <xf numFmtId="0" fontId="4" fillId="13" borderId="47" xfId="0" applyFont="1" applyFill="1" applyBorder="1"/>
    <xf numFmtId="0" fontId="4" fillId="13" borderId="49" xfId="0" applyFont="1" applyFill="1" applyBorder="1"/>
    <xf numFmtId="0" fontId="4" fillId="0" borderId="39" xfId="0" applyFont="1" applyBorder="1"/>
    <xf numFmtId="0" fontId="4" fillId="0" borderId="40" xfId="0" applyFont="1" applyBorder="1"/>
    <xf numFmtId="43" fontId="4" fillId="0" borderId="40" xfId="5" applyFont="1" applyBorder="1"/>
    <xf numFmtId="43" fontId="4" fillId="0" borderId="16" xfId="5" applyFont="1" applyBorder="1"/>
    <xf numFmtId="43" fontId="0" fillId="0" borderId="20" xfId="0" applyNumberFormat="1" applyBorder="1" applyAlignment="1">
      <alignment horizontal="center"/>
    </xf>
    <xf numFmtId="0" fontId="4" fillId="0" borderId="56" xfId="0" applyFont="1" applyBorder="1"/>
    <xf numFmtId="43" fontId="4" fillId="0" borderId="56" xfId="5" applyFont="1" applyBorder="1"/>
    <xf numFmtId="43" fontId="4" fillId="0" borderId="45" xfId="5" applyFont="1" applyBorder="1"/>
    <xf numFmtId="9" fontId="0" fillId="0" borderId="0" xfId="1" applyFont="1"/>
    <xf numFmtId="166" fontId="0" fillId="0" borderId="49" xfId="5" applyNumberFormat="1" applyFont="1" applyBorder="1"/>
    <xf numFmtId="166" fontId="0" fillId="0" borderId="50" xfId="5" applyNumberFormat="1" applyFont="1" applyBorder="1"/>
    <xf numFmtId="9" fontId="0" fillId="0" borderId="49" xfId="0" applyNumberFormat="1" applyBorder="1"/>
    <xf numFmtId="43" fontId="0" fillId="0" borderId="49" xfId="5" applyFont="1" applyBorder="1"/>
    <xf numFmtId="0" fontId="4" fillId="13" borderId="11" xfId="0" applyFont="1" applyFill="1" applyBorder="1"/>
    <xf numFmtId="0" fontId="4" fillId="13" borderId="59" xfId="0" applyFont="1" applyFill="1" applyBorder="1"/>
    <xf numFmtId="0" fontId="0" fillId="13" borderId="59" xfId="0" applyFill="1" applyBorder="1"/>
    <xf numFmtId="43" fontId="4" fillId="13" borderId="59" xfId="5" applyFont="1" applyFill="1" applyBorder="1"/>
    <xf numFmtId="43" fontId="4" fillId="13" borderId="26" xfId="5" applyFont="1" applyFill="1" applyBorder="1"/>
    <xf numFmtId="0" fontId="4" fillId="13" borderId="54" xfId="0" applyFont="1" applyFill="1" applyBorder="1" applyAlignment="1">
      <alignment horizontal="center" wrapText="1"/>
    </xf>
    <xf numFmtId="43" fontId="4" fillId="0" borderId="0" xfId="5" applyFont="1"/>
    <xf numFmtId="43" fontId="2" fillId="0" borderId="0" xfId="5" applyFont="1"/>
    <xf numFmtId="43" fontId="4" fillId="0" borderId="0" xfId="5" applyFont="1" applyAlignment="1">
      <alignment horizontal="center"/>
    </xf>
    <xf numFmtId="0" fontId="2" fillId="0" borderId="0" xfId="2" applyFill="1" applyAlignment="1">
      <alignment horizontal="center"/>
    </xf>
    <xf numFmtId="43" fontId="0" fillId="0" borderId="0" xfId="0" applyNumberFormat="1" applyAlignment="1">
      <alignment horizontal="center"/>
    </xf>
    <xf numFmtId="166" fontId="0" fillId="0" borderId="0" xfId="5" applyNumberFormat="1" applyFont="1"/>
    <xf numFmtId="9" fontId="0" fillId="0" borderId="40" xfId="5" applyNumberFormat="1" applyFont="1" applyBorder="1"/>
    <xf numFmtId="168" fontId="0" fillId="0" borderId="35" xfId="0" applyNumberFormat="1" applyBorder="1"/>
    <xf numFmtId="168" fontId="0" fillId="0" borderId="12" xfId="0" applyNumberFormat="1" applyBorder="1"/>
    <xf numFmtId="166" fontId="0" fillId="0" borderId="24" xfId="0" applyNumberFormat="1" applyBorder="1" applyAlignment="1">
      <alignment horizontal="center"/>
    </xf>
    <xf numFmtId="43" fontId="0" fillId="0" borderId="33" xfId="0" applyNumberFormat="1" applyBorder="1"/>
    <xf numFmtId="43" fontId="0" fillId="0" borderId="24" xfId="0" applyNumberFormat="1" applyBorder="1"/>
    <xf numFmtId="43" fontId="0" fillId="0" borderId="35" xfId="0" applyNumberFormat="1" applyBorder="1"/>
    <xf numFmtId="43" fontId="0" fillId="0" borderId="29" xfId="0" applyNumberFormat="1" applyBorder="1"/>
    <xf numFmtId="0" fontId="4" fillId="9" borderId="38" xfId="0" applyFont="1" applyFill="1" applyBorder="1"/>
    <xf numFmtId="164" fontId="0" fillId="0" borderId="40" xfId="1" applyNumberFormat="1" applyFont="1" applyBorder="1"/>
    <xf numFmtId="165" fontId="0" fillId="0" borderId="33" xfId="5" applyNumberFormat="1" applyFont="1" applyBorder="1"/>
    <xf numFmtId="165" fontId="0" fillId="0" borderId="24" xfId="5" applyNumberFormat="1" applyFont="1" applyBorder="1"/>
    <xf numFmtId="43" fontId="0" fillId="0" borderId="40" xfId="0" applyNumberFormat="1" applyBorder="1"/>
    <xf numFmtId="0" fontId="7" fillId="0" borderId="39" xfId="0" applyFont="1" applyBorder="1"/>
    <xf numFmtId="0" fontId="7" fillId="0" borderId="40" xfId="0" applyFont="1" applyBorder="1"/>
    <xf numFmtId="43" fontId="7" fillId="0" borderId="16" xfId="5" applyFont="1" applyBorder="1"/>
    <xf numFmtId="0" fontId="7" fillId="0" borderId="47" xfId="0" applyFont="1" applyBorder="1"/>
    <xf numFmtId="0" fontId="7" fillId="0" borderId="49" xfId="0" applyFont="1" applyBorder="1"/>
    <xf numFmtId="43" fontId="7" fillId="0" borderId="50" xfId="5" applyFont="1" applyBorder="1"/>
    <xf numFmtId="0" fontId="8" fillId="14" borderId="9" xfId="0" applyFont="1" applyFill="1" applyBorder="1"/>
    <xf numFmtId="0" fontId="8" fillId="14" borderId="38" xfId="0" applyFont="1" applyFill="1" applyBorder="1"/>
    <xf numFmtId="43" fontId="8" fillId="14" borderId="36" xfId="5" applyFont="1" applyFill="1" applyBorder="1"/>
    <xf numFmtId="43" fontId="4" fillId="0" borderId="12" xfId="0" applyNumberFormat="1" applyFont="1" applyBorder="1"/>
    <xf numFmtId="10" fontId="0" fillId="0" borderId="20" xfId="0" applyNumberFormat="1" applyBorder="1"/>
    <xf numFmtId="43" fontId="4" fillId="0" borderId="20" xfId="0" applyNumberFormat="1" applyFont="1" applyBorder="1"/>
    <xf numFmtId="43" fontId="4" fillId="0" borderId="33" xfId="0" applyNumberFormat="1" applyFont="1" applyBorder="1"/>
    <xf numFmtId="43" fontId="4" fillId="0" borderId="24" xfId="0" applyNumberFormat="1" applyFont="1" applyBorder="1"/>
    <xf numFmtId="0" fontId="4" fillId="9" borderId="37" xfId="0" applyFont="1" applyFill="1" applyBorder="1"/>
    <xf numFmtId="0" fontId="0" fillId="0" borderId="28" xfId="0" applyBorder="1"/>
    <xf numFmtId="0" fontId="0" fillId="0" borderId="18" xfId="0" applyBorder="1"/>
    <xf numFmtId="0" fontId="4" fillId="0" borderId="18" xfId="0" applyFont="1" applyBorder="1"/>
    <xf numFmtId="0" fontId="4" fillId="0" borderId="22" xfId="0" applyFont="1" applyBorder="1"/>
    <xf numFmtId="0" fontId="7" fillId="15" borderId="39" xfId="0" applyFont="1" applyFill="1" applyBorder="1"/>
    <xf numFmtId="0" fontId="4" fillId="15" borderId="40" xfId="0" applyFont="1" applyFill="1" applyBorder="1"/>
    <xf numFmtId="43" fontId="4" fillId="15" borderId="40" xfId="0" applyNumberFormat="1" applyFont="1" applyFill="1" applyBorder="1"/>
    <xf numFmtId="43" fontId="4" fillId="15" borderId="16" xfId="0" applyNumberFormat="1" applyFont="1" applyFill="1" applyBorder="1"/>
    <xf numFmtId="0" fontId="0" fillId="0" borderId="14" xfId="0" applyBorder="1"/>
    <xf numFmtId="0" fontId="0" fillId="0" borderId="22" xfId="0" applyBorder="1"/>
    <xf numFmtId="0" fontId="0" fillId="0" borderId="61" xfId="0" applyBorder="1"/>
    <xf numFmtId="0" fontId="4" fillId="0" borderId="63" xfId="0" applyFont="1" applyBorder="1" applyAlignment="1">
      <alignment horizontal="center" vertical="center" wrapText="1"/>
    </xf>
    <xf numFmtId="20" fontId="0" fillId="0" borderId="0" xfId="0" applyNumberFormat="1"/>
    <xf numFmtId="43" fontId="4" fillId="13" borderId="24" xfId="0" applyNumberFormat="1" applyFont="1" applyFill="1" applyBorder="1"/>
    <xf numFmtId="166" fontId="2" fillId="2" borderId="29" xfId="5" applyNumberFormat="1" applyFont="1" applyFill="1" applyBorder="1"/>
    <xf numFmtId="43" fontId="2" fillId="2" borderId="20" xfId="2" applyNumberFormat="1" applyBorder="1"/>
    <xf numFmtId="43" fontId="4" fillId="0" borderId="29" xfId="0" applyNumberFormat="1" applyFont="1" applyBorder="1"/>
    <xf numFmtId="0" fontId="2" fillId="2" borderId="13" xfId="2" applyBorder="1"/>
    <xf numFmtId="10" fontId="0" fillId="0" borderId="17" xfId="1" applyNumberFormat="1" applyFont="1" applyBorder="1"/>
    <xf numFmtId="10" fontId="2" fillId="2" borderId="17" xfId="1" applyNumberFormat="1" applyFont="1" applyFill="1" applyBorder="1"/>
    <xf numFmtId="43" fontId="3" fillId="3" borderId="17" xfId="5" applyFont="1" applyFill="1" applyBorder="1"/>
    <xf numFmtId="43" fontId="3" fillId="3" borderId="21" xfId="3" applyNumberFormat="1" applyBorder="1"/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166" fontId="9" fillId="2" borderId="7" xfId="5" applyNumberFormat="1" applyFont="1" applyFill="1" applyBorder="1"/>
    <xf numFmtId="0" fontId="4" fillId="6" borderId="0" xfId="0" applyFont="1" applyFill="1"/>
    <xf numFmtId="43" fontId="0" fillId="0" borderId="44" xfId="5" applyFont="1" applyBorder="1"/>
    <xf numFmtId="2" fontId="0" fillId="0" borderId="3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2" fontId="15" fillId="2" borderId="0" xfId="2" applyNumberFormat="1" applyFont="1" applyAlignment="1">
      <alignment horizontal="center"/>
    </xf>
    <xf numFmtId="0" fontId="16" fillId="16" borderId="64" xfId="7" applyFont="1"/>
    <xf numFmtId="9" fontId="0" fillId="0" borderId="0" xfId="1" applyFont="1" applyAlignment="1">
      <alignment horizontal="center"/>
    </xf>
    <xf numFmtId="10" fontId="0" fillId="0" borderId="8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8" xfId="0" applyBorder="1"/>
    <xf numFmtId="10" fontId="0" fillId="0" borderId="7" xfId="1" applyNumberFormat="1" applyFont="1" applyBorder="1" applyAlignment="1">
      <alignment horizontal="center"/>
    </xf>
    <xf numFmtId="0" fontId="0" fillId="0" borderId="7" xfId="0" quotePrefix="1" applyBorder="1"/>
    <xf numFmtId="10" fontId="0" fillId="0" borderId="58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0" fillId="0" borderId="0" xfId="0" applyNumberFormat="1" applyAlignment="1">
      <alignment horizontal="center"/>
    </xf>
    <xf numFmtId="9" fontId="13" fillId="0" borderId="0" xfId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0" fontId="0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8" fontId="0" fillId="0" borderId="0" xfId="1" applyNumberFormat="1" applyFont="1"/>
    <xf numFmtId="9" fontId="17" fillId="4" borderId="4" xfId="1" applyFont="1" applyFill="1" applyBorder="1" applyAlignment="1">
      <alignment vertical="center" wrapText="1"/>
    </xf>
    <xf numFmtId="9" fontId="17" fillId="4" borderId="8" xfId="1" applyFont="1" applyFill="1" applyBorder="1" applyAlignment="1">
      <alignment vertical="center" wrapText="1"/>
    </xf>
    <xf numFmtId="9" fontId="0" fillId="4" borderId="4" xfId="1" applyFont="1" applyFill="1" applyBorder="1" applyAlignment="1">
      <alignment horizontal="center"/>
    </xf>
    <xf numFmtId="0" fontId="0" fillId="4" borderId="8" xfId="0" applyFill="1" applyBorder="1"/>
    <xf numFmtId="9" fontId="0" fillId="0" borderId="4" xfId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9" fontId="17" fillId="4" borderId="3" xfId="1" applyFont="1" applyFill="1" applyBorder="1" applyAlignment="1">
      <alignment horizontal="center" vertical="center" wrapText="1"/>
    </xf>
    <xf numFmtId="9" fontId="17" fillId="4" borderId="7" xfId="1" applyFont="1" applyFill="1" applyBorder="1" applyAlignment="1">
      <alignment vertical="center" wrapText="1"/>
    </xf>
    <xf numFmtId="9" fontId="0" fillId="4" borderId="3" xfId="1" applyFont="1" applyFill="1" applyBorder="1" applyAlignment="1">
      <alignment horizontal="center"/>
    </xf>
    <xf numFmtId="0" fontId="0" fillId="4" borderId="7" xfId="0" applyFill="1" applyBorder="1"/>
    <xf numFmtId="9" fontId="0" fillId="0" borderId="3" xfId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9" fontId="17" fillId="4" borderId="65" xfId="1" applyFont="1" applyFill="1" applyBorder="1" applyAlignment="1">
      <alignment horizontal="center" vertical="center" wrapText="1"/>
    </xf>
    <xf numFmtId="9" fontId="17" fillId="4" borderId="58" xfId="1" applyFont="1" applyFill="1" applyBorder="1" applyAlignment="1">
      <alignment vertical="center" wrapText="1"/>
    </xf>
    <xf numFmtId="9" fontId="0" fillId="4" borderId="65" xfId="0" applyNumberFormat="1" applyFill="1" applyBorder="1" applyAlignment="1">
      <alignment horizontal="center"/>
    </xf>
    <xf numFmtId="9" fontId="0" fillId="4" borderId="58" xfId="1" applyFont="1" applyFill="1" applyBorder="1" applyAlignment="1">
      <alignment horizontal="left"/>
    </xf>
    <xf numFmtId="0" fontId="0" fillId="0" borderId="65" xfId="0" applyBorder="1"/>
    <xf numFmtId="9" fontId="0" fillId="0" borderId="65" xfId="1" applyFont="1" applyBorder="1" applyAlignment="1">
      <alignment horizontal="center"/>
    </xf>
    <xf numFmtId="0" fontId="0" fillId="0" borderId="58" xfId="0" applyBorder="1"/>
    <xf numFmtId="0" fontId="4" fillId="14" borderId="6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14" borderId="65" xfId="0" applyFont="1" applyFill="1" applyBorder="1" applyAlignment="1">
      <alignment horizontal="center" wrapText="1"/>
    </xf>
    <xf numFmtId="0" fontId="6" fillId="0" borderId="0" xfId="0" applyFont="1"/>
    <xf numFmtId="43" fontId="4" fillId="0" borderId="36" xfId="5" applyFont="1" applyBorder="1"/>
    <xf numFmtId="43" fontId="4" fillId="0" borderId="38" xfId="5" applyFont="1" applyBorder="1"/>
    <xf numFmtId="43" fontId="4" fillId="0" borderId="37" xfId="5" applyFont="1" applyBorder="1"/>
    <xf numFmtId="0" fontId="4" fillId="8" borderId="1" xfId="0" applyFont="1" applyFill="1" applyBorder="1"/>
    <xf numFmtId="43" fontId="0" fillId="0" borderId="61" xfId="5" applyFont="1" applyBorder="1"/>
    <xf numFmtId="0" fontId="0" fillId="0" borderId="48" xfId="0" applyBorder="1" applyAlignment="1">
      <alignment horizontal="center"/>
    </xf>
    <xf numFmtId="0" fontId="0" fillId="8" borderId="51" xfId="0" applyFill="1" applyBorder="1"/>
    <xf numFmtId="0" fontId="0" fillId="0" borderId="44" xfId="0" applyBorder="1" applyAlignment="1">
      <alignment horizontal="center"/>
    </xf>
    <xf numFmtId="0" fontId="0" fillId="8" borderId="17" xfId="0" applyFill="1" applyBorder="1"/>
    <xf numFmtId="0" fontId="0" fillId="0" borderId="46" xfId="0" applyBorder="1" applyAlignment="1">
      <alignment horizontal="center"/>
    </xf>
    <xf numFmtId="0" fontId="0" fillId="8" borderId="27" xfId="0" applyFill="1" applyBorder="1"/>
    <xf numFmtId="0" fontId="4" fillId="12" borderId="36" xfId="0" applyFont="1" applyFill="1" applyBorder="1" applyAlignment="1">
      <alignment horizontal="center"/>
    </xf>
    <xf numFmtId="0" fontId="4" fillId="12" borderId="38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0" fillId="12" borderId="1" xfId="0" applyFill="1" applyBorder="1"/>
    <xf numFmtId="43" fontId="0" fillId="0" borderId="32" xfId="5" applyFont="1" applyBorder="1"/>
    <xf numFmtId="43" fontId="0" fillId="0" borderId="32" xfId="5" applyFont="1" applyBorder="1" applyAlignment="1">
      <alignment horizontal="center"/>
    </xf>
    <xf numFmtId="0" fontId="0" fillId="13" borderId="21" xfId="0" applyFill="1" applyBorder="1"/>
    <xf numFmtId="2" fontId="4" fillId="0" borderId="12" xfId="0" applyNumberFormat="1" applyFont="1" applyBorder="1"/>
    <xf numFmtId="2" fontId="4" fillId="0" borderId="18" xfId="0" applyNumberFormat="1" applyFont="1" applyBorder="1" applyAlignment="1">
      <alignment horizontal="center"/>
    </xf>
    <xf numFmtId="43" fontId="0" fillId="0" borderId="31" xfId="5" applyFont="1" applyBorder="1"/>
    <xf numFmtId="43" fontId="0" fillId="0" borderId="31" xfId="5" applyFont="1" applyBorder="1" applyAlignment="1">
      <alignment horizontal="center"/>
    </xf>
    <xf numFmtId="0" fontId="0" fillId="13" borderId="17" xfId="0" applyFill="1" applyBorder="1"/>
    <xf numFmtId="0" fontId="4" fillId="6" borderId="12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43" fontId="0" fillId="0" borderId="34" xfId="5" applyFont="1" applyBorder="1"/>
    <xf numFmtId="43" fontId="0" fillId="0" borderId="34" xfId="5" applyFont="1" applyBorder="1" applyAlignment="1">
      <alignment horizontal="center"/>
    </xf>
    <xf numFmtId="0" fontId="0" fillId="13" borderId="27" xfId="0" applyFill="1" applyBorder="1"/>
    <xf numFmtId="0" fontId="4" fillId="12" borderId="9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43" fontId="0" fillId="0" borderId="0" xfId="5" applyFont="1" applyAlignment="1">
      <alignment horizontal="center"/>
    </xf>
    <xf numFmtId="43" fontId="0" fillId="0" borderId="4" xfId="5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6" xfId="0" applyBorder="1"/>
    <xf numFmtId="9" fontId="0" fillId="0" borderId="3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9" fontId="0" fillId="0" borderId="3" xfId="5" applyNumberFormat="1" applyFont="1" applyBorder="1" applyAlignment="1">
      <alignment horizontal="center"/>
    </xf>
    <xf numFmtId="43" fontId="4" fillId="0" borderId="12" xfId="5" applyFont="1" applyBorder="1" applyAlignment="1">
      <alignment horizontal="center"/>
    </xf>
    <xf numFmtId="43" fontId="4" fillId="0" borderId="18" xfId="5" applyFont="1" applyBorder="1" applyAlignment="1">
      <alignment horizontal="center"/>
    </xf>
    <xf numFmtId="43" fontId="0" fillId="0" borderId="21" xfId="5" applyFont="1" applyBorder="1" applyAlignment="1">
      <alignment horizontal="center"/>
    </xf>
    <xf numFmtId="0" fontId="0" fillId="17" borderId="21" xfId="0" applyFill="1" applyBorder="1"/>
    <xf numFmtId="43" fontId="0" fillId="0" borderId="17" xfId="5" applyFont="1" applyBorder="1" applyAlignment="1">
      <alignment horizontal="center"/>
    </xf>
    <xf numFmtId="0" fontId="0" fillId="17" borderId="17" xfId="0" applyFill="1" applyBorder="1"/>
    <xf numFmtId="9" fontId="0" fillId="0" borderId="46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5" xfId="0" applyBorder="1"/>
    <xf numFmtId="43" fontId="0" fillId="0" borderId="14" xfId="5" applyFont="1" applyBorder="1"/>
    <xf numFmtId="43" fontId="0" fillId="0" borderId="13" xfId="5" applyFont="1" applyBorder="1" applyAlignment="1">
      <alignment horizontal="center"/>
    </xf>
    <xf numFmtId="0" fontId="0" fillId="17" borderId="13" xfId="0" applyFill="1" applyBorder="1"/>
    <xf numFmtId="9" fontId="0" fillId="0" borderId="4" xfId="0" applyNumberFormat="1" applyBorder="1"/>
    <xf numFmtId="9" fontId="0" fillId="0" borderId="6" xfId="0" applyNumberFormat="1" applyBorder="1"/>
    <xf numFmtId="0" fontId="0" fillId="0" borderId="1" xfId="0" applyBorder="1"/>
    <xf numFmtId="10" fontId="0" fillId="0" borderId="4" xfId="0" applyNumberFormat="1" applyBorder="1"/>
    <xf numFmtId="1" fontId="4" fillId="0" borderId="0" xfId="0" applyNumberFormat="1" applyFont="1"/>
    <xf numFmtId="1" fontId="0" fillId="0" borderId="24" xfId="0" applyNumberFormat="1" applyBorder="1"/>
    <xf numFmtId="1" fontId="0" fillId="0" borderId="33" xfId="0" applyNumberFormat="1" applyBorder="1"/>
    <xf numFmtId="1" fontId="0" fillId="0" borderId="32" xfId="0" applyNumberFormat="1" applyBorder="1"/>
    <xf numFmtId="1" fontId="0" fillId="0" borderId="21" xfId="0" applyNumberFormat="1" applyBorder="1" applyAlignment="1">
      <alignment horizontal="center"/>
    </xf>
    <xf numFmtId="10" fontId="0" fillId="0" borderId="6" xfId="0" applyNumberFormat="1" applyBorder="1"/>
    <xf numFmtId="9" fontId="7" fillId="0" borderId="3" xfId="0" applyNumberFormat="1" applyFont="1" applyBorder="1"/>
    <xf numFmtId="2" fontId="4" fillId="0" borderId="0" xfId="0" applyNumberFormat="1" applyFont="1"/>
    <xf numFmtId="10" fontId="0" fillId="0" borderId="39" xfId="0" applyNumberFormat="1" applyBorder="1"/>
    <xf numFmtId="10" fontId="0" fillId="0" borderId="27" xfId="0" applyNumberFormat="1" applyBorder="1" applyAlignment="1">
      <alignment horizontal="center"/>
    </xf>
    <xf numFmtId="0" fontId="0" fillId="17" borderId="27" xfId="0" applyFill="1" applyBorder="1"/>
    <xf numFmtId="9" fontId="7" fillId="0" borderId="65" xfId="0" applyNumberFormat="1" applyFont="1" applyBorder="1"/>
    <xf numFmtId="0" fontId="0" fillId="12" borderId="1" xfId="0" applyFill="1" applyBorder="1" applyAlignment="1">
      <alignment horizontal="center"/>
    </xf>
    <xf numFmtId="2" fontId="20" fillId="2" borderId="4" xfId="2" applyNumberFormat="1" applyFont="1" applyBorder="1" applyAlignment="1">
      <alignment horizontal="center"/>
    </xf>
    <xf numFmtId="0" fontId="20" fillId="2" borderId="1" xfId="2" applyFont="1" applyBorder="1"/>
    <xf numFmtId="9" fontId="0" fillId="0" borderId="24" xfId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3" fontId="4" fillId="18" borderId="26" xfId="5" applyFont="1" applyFill="1" applyBorder="1"/>
    <xf numFmtId="0" fontId="4" fillId="18" borderId="66" xfId="0" applyFont="1" applyFill="1" applyBorder="1"/>
    <xf numFmtId="9" fontId="0" fillId="0" borderId="20" xfId="1" applyFont="1" applyBorder="1" applyAlignment="1">
      <alignment horizontal="center"/>
    </xf>
    <xf numFmtId="43" fontId="0" fillId="0" borderId="26" xfId="5" applyFont="1" applyBorder="1"/>
    <xf numFmtId="2" fontId="0" fillId="0" borderId="18" xfId="0" applyNumberFormat="1" applyBorder="1" applyAlignment="1">
      <alignment horizontal="center"/>
    </xf>
    <xf numFmtId="43" fontId="4" fillId="17" borderId="26" xfId="5" applyFont="1" applyFill="1" applyBorder="1"/>
    <xf numFmtId="0" fontId="4" fillId="17" borderId="66" xfId="0" applyFont="1" applyFill="1" applyBorder="1"/>
    <xf numFmtId="43" fontId="0" fillId="0" borderId="69" xfId="5" applyFont="1" applyBorder="1"/>
    <xf numFmtId="43" fontId="1" fillId="0" borderId="69" xfId="5" applyBorder="1"/>
    <xf numFmtId="0" fontId="0" fillId="0" borderId="69" xfId="0" applyBorder="1"/>
    <xf numFmtId="0" fontId="4" fillId="0" borderId="2" xfId="0" applyFont="1" applyBorder="1"/>
    <xf numFmtId="9" fontId="0" fillId="0" borderId="29" xfId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0" fontId="0" fillId="14" borderId="26" xfId="0" applyNumberFormat="1" applyFill="1" applyBorder="1"/>
    <xf numFmtId="0" fontId="0" fillId="14" borderId="66" xfId="0" applyFill="1" applyBorder="1"/>
    <xf numFmtId="0" fontId="4" fillId="6" borderId="36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/>
    </xf>
    <xf numFmtId="1" fontId="0" fillId="14" borderId="70" xfId="0" applyNumberFormat="1" applyFill="1" applyBorder="1"/>
    <xf numFmtId="0" fontId="0" fillId="14" borderId="60" xfId="0" applyFill="1" applyBorder="1"/>
    <xf numFmtId="2" fontId="4" fillId="0" borderId="0" xfId="0" applyNumberFormat="1" applyFont="1" applyAlignment="1">
      <alignment horizontal="center"/>
    </xf>
    <xf numFmtId="43" fontId="0" fillId="0" borderId="45" xfId="5" applyFont="1" applyBorder="1" applyAlignment="1">
      <alignment horizontal="center"/>
    </xf>
    <xf numFmtId="43" fontId="0" fillId="0" borderId="44" xfId="5" applyFont="1" applyBorder="1" applyAlignment="1">
      <alignment horizontal="center"/>
    </xf>
    <xf numFmtId="43" fontId="0" fillId="0" borderId="43" xfId="5" applyFont="1" applyBorder="1" applyAlignment="1">
      <alignment horizontal="center"/>
    </xf>
    <xf numFmtId="1" fontId="0" fillId="0" borderId="22" xfId="0" applyNumberFormat="1" applyBorder="1"/>
    <xf numFmtId="1" fontId="0" fillId="0" borderId="45" xfId="0" applyNumberFormat="1" applyBorder="1" applyAlignment="1">
      <alignment horizontal="center"/>
    </xf>
    <xf numFmtId="10" fontId="0" fillId="0" borderId="14" xfId="0" applyNumberFormat="1" applyBorder="1"/>
    <xf numFmtId="10" fontId="0" fillId="0" borderId="43" xfId="0" applyNumberFormat="1" applyBorder="1" applyAlignment="1">
      <alignment horizontal="center"/>
    </xf>
    <xf numFmtId="2" fontId="20" fillId="2" borderId="1" xfId="2" applyNumberFormat="1" applyFont="1" applyBorder="1" applyAlignment="1">
      <alignment horizontal="center"/>
    </xf>
    <xf numFmtId="9" fontId="0" fillId="0" borderId="45" xfId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9" fontId="0" fillId="0" borderId="44" xfId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9" fontId="0" fillId="0" borderId="46" xfId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4" fillId="6" borderId="3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43" fontId="0" fillId="0" borderId="45" xfId="0" applyNumberFormat="1" applyBorder="1"/>
    <xf numFmtId="43" fontId="0" fillId="0" borderId="22" xfId="0" applyNumberFormat="1" applyBorder="1"/>
    <xf numFmtId="43" fontId="0" fillId="0" borderId="32" xfId="0" applyNumberFormat="1" applyBorder="1"/>
    <xf numFmtId="43" fontId="0" fillId="15" borderId="29" xfId="5" applyFont="1" applyFill="1" applyBorder="1"/>
    <xf numFmtId="43" fontId="0" fillId="15" borderId="35" xfId="5" applyFont="1" applyFill="1" applyBorder="1"/>
    <xf numFmtId="43" fontId="0" fillId="15" borderId="34" xfId="5" applyFont="1" applyFill="1" applyBorder="1"/>
    <xf numFmtId="0" fontId="0" fillId="15" borderId="29" xfId="0" applyFill="1" applyBorder="1"/>
    <xf numFmtId="0" fontId="0" fillId="15" borderId="35" xfId="0" applyFill="1" applyBorder="1" applyAlignment="1">
      <alignment horizontal="center"/>
    </xf>
    <xf numFmtId="0" fontId="7" fillId="15" borderId="34" xfId="0" applyFont="1" applyFill="1" applyBorder="1"/>
    <xf numFmtId="43" fontId="0" fillId="15" borderId="16" xfId="5" applyFont="1" applyFill="1" applyBorder="1"/>
    <xf numFmtId="43" fontId="0" fillId="15" borderId="40" xfId="5" applyFont="1" applyFill="1" applyBorder="1"/>
    <xf numFmtId="43" fontId="0" fillId="15" borderId="39" xfId="5" applyFont="1" applyFill="1" applyBorder="1"/>
    <xf numFmtId="166" fontId="0" fillId="0" borderId="18" xfId="5" applyNumberFormat="1" applyFont="1" applyBorder="1"/>
    <xf numFmtId="166" fontId="0" fillId="0" borderId="35" xfId="5" quotePrefix="1" applyNumberFormat="1" applyFont="1" applyBorder="1"/>
    <xf numFmtId="166" fontId="0" fillId="0" borderId="28" xfId="5" applyNumberFormat="1" applyFont="1" applyBorder="1"/>
    <xf numFmtId="0" fontId="0" fillId="0" borderId="35" xfId="0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/>
    </xf>
    <xf numFmtId="43" fontId="4" fillId="0" borderId="38" xfId="0" applyNumberFormat="1" applyFont="1" applyBorder="1"/>
    <xf numFmtId="43" fontId="4" fillId="0" borderId="9" xfId="0" applyNumberFormat="1" applyFont="1" applyBorder="1"/>
    <xf numFmtId="10" fontId="4" fillId="0" borderId="8" xfId="0" applyNumberFormat="1" applyFont="1" applyBorder="1" applyAlignment="1">
      <alignment horizontal="center"/>
    </xf>
    <xf numFmtId="10" fontId="4" fillId="0" borderId="26" xfId="0" applyNumberFormat="1" applyFont="1" applyBorder="1"/>
    <xf numFmtId="0" fontId="4" fillId="0" borderId="11" xfId="0" applyFont="1" applyBorder="1"/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165" fontId="0" fillId="0" borderId="16" xfId="5" applyNumberFormat="1" applyFont="1" applyBorder="1"/>
    <xf numFmtId="165" fontId="0" fillId="0" borderId="40" xfId="5" applyNumberFormat="1" applyFont="1" applyBorder="1"/>
    <xf numFmtId="165" fontId="0" fillId="0" borderId="14" xfId="5" applyNumberFormat="1" applyFont="1" applyBorder="1"/>
    <xf numFmtId="0" fontId="0" fillId="0" borderId="13" xfId="0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9" xfId="0" applyFont="1" applyBorder="1"/>
    <xf numFmtId="0" fontId="4" fillId="0" borderId="36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5" borderId="7" xfId="0" applyFill="1" applyBorder="1"/>
    <xf numFmtId="0" fontId="0" fillId="19" borderId="7" xfId="0" applyFill="1" applyBorder="1"/>
    <xf numFmtId="0" fontId="0" fillId="20" borderId="7" xfId="0" applyFill="1" applyBorder="1"/>
    <xf numFmtId="0" fontId="0" fillId="21" borderId="7" xfId="0" applyFill="1" applyBorder="1"/>
    <xf numFmtId="0" fontId="0" fillId="22" borderId="7" xfId="0" applyFill="1" applyBorder="1"/>
    <xf numFmtId="0" fontId="0" fillId="10" borderId="0" xfId="0" applyFill="1"/>
    <xf numFmtId="0" fontId="4" fillId="10" borderId="0" xfId="0" applyFont="1" applyFill="1"/>
    <xf numFmtId="0" fontId="0" fillId="10" borderId="0" xfId="0" applyFill="1" applyAlignment="1">
      <alignment wrapText="1"/>
    </xf>
    <xf numFmtId="0" fontId="4" fillId="10" borderId="0" xfId="0" applyFont="1" applyFill="1" applyAlignment="1">
      <alignment wrapText="1"/>
    </xf>
    <xf numFmtId="0" fontId="0" fillId="10" borderId="0" xfId="0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0" borderId="12" xfId="0" applyFont="1" applyFill="1" applyBorder="1" applyAlignment="1">
      <alignment vertical="center"/>
    </xf>
    <xf numFmtId="0" fontId="0" fillId="10" borderId="12" xfId="0" applyFill="1" applyBorder="1" applyAlignment="1">
      <alignment wrapText="1"/>
    </xf>
    <xf numFmtId="0" fontId="21" fillId="0" borderId="34" xfId="6" applyFont="1" applyBorder="1"/>
    <xf numFmtId="0" fontId="21" fillId="0" borderId="31" xfId="6" applyFont="1" applyBorder="1"/>
    <xf numFmtId="0" fontId="21" fillId="0" borderId="32" xfId="6" applyFont="1" applyBorder="1"/>
    <xf numFmtId="0" fontId="0" fillId="0" borderId="6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right"/>
    </xf>
    <xf numFmtId="10" fontId="4" fillId="0" borderId="0" xfId="1" applyNumberFormat="1" applyFont="1"/>
    <xf numFmtId="2" fontId="0" fillId="0" borderId="5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0" fontId="0" fillId="0" borderId="58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4" fillId="14" borderId="60" xfId="0" applyFont="1" applyFill="1" applyBorder="1" applyAlignment="1">
      <alignment horizontal="center" wrapText="1"/>
    </xf>
    <xf numFmtId="0" fontId="4" fillId="14" borderId="65" xfId="0" applyFont="1" applyFill="1" applyBorder="1" applyAlignment="1">
      <alignment horizontal="center" wrapText="1"/>
    </xf>
    <xf numFmtId="0" fontId="4" fillId="14" borderId="66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 wrapText="1"/>
    </xf>
    <xf numFmtId="0" fontId="4" fillId="17" borderId="5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4" fillId="14" borderId="58" xfId="0" applyFont="1" applyFill="1" applyBorder="1" applyAlignment="1">
      <alignment horizontal="center" wrapText="1"/>
    </xf>
    <xf numFmtId="0" fontId="4" fillId="14" borderId="8" xfId="0" applyFont="1" applyFill="1" applyBorder="1" applyAlignment="1">
      <alignment horizontal="center" wrapText="1"/>
    </xf>
    <xf numFmtId="0" fontId="4" fillId="14" borderId="67" xfId="0" applyFont="1" applyFill="1" applyBorder="1" applyAlignment="1">
      <alignment horizontal="center" vertical="top" wrapText="1"/>
    </xf>
    <xf numFmtId="0" fontId="4" fillId="14" borderId="65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11" borderId="5" xfId="0" applyFont="1" applyFill="1" applyBorder="1" applyAlignment="1">
      <alignment horizontal="center" wrapText="1"/>
    </xf>
    <xf numFmtId="0" fontId="4" fillId="11" borderId="30" xfId="0" applyFont="1" applyFill="1" applyBorder="1" applyAlignment="1">
      <alignment horizontal="center" wrapText="1"/>
    </xf>
    <xf numFmtId="0" fontId="4" fillId="11" borderId="6" xfId="0" applyFont="1" applyFill="1" applyBorder="1" applyAlignment="1">
      <alignment horizontal="center" wrapText="1"/>
    </xf>
    <xf numFmtId="0" fontId="19" fillId="15" borderId="63" xfId="0" applyFont="1" applyFill="1" applyBorder="1" applyAlignment="1">
      <alignment horizontal="left"/>
    </xf>
    <xf numFmtId="0" fontId="19" fillId="15" borderId="52" xfId="0" applyFont="1" applyFill="1" applyBorder="1" applyAlignment="1">
      <alignment horizontal="left"/>
    </xf>
    <xf numFmtId="0" fontId="19" fillId="15" borderId="48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2" borderId="35" xfId="2" applyBorder="1" applyAlignment="1">
      <alignment horizontal="center"/>
    </xf>
    <xf numFmtId="0" fontId="2" fillId="2" borderId="29" xfId="2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3" fontId="4" fillId="0" borderId="49" xfId="5" applyFont="1" applyBorder="1" applyAlignment="1">
      <alignment horizontal="center"/>
    </xf>
    <xf numFmtId="43" fontId="4" fillId="0" borderId="50" xfId="5" applyFont="1" applyBorder="1" applyAlignment="1">
      <alignment horizontal="center"/>
    </xf>
    <xf numFmtId="43" fontId="4" fillId="0" borderId="57" xfId="5" applyFont="1" applyBorder="1" applyAlignment="1">
      <alignment horizontal="center"/>
    </xf>
    <xf numFmtId="43" fontId="4" fillId="0" borderId="44" xfId="5" applyFont="1" applyBorder="1" applyAlignment="1">
      <alignment horizontal="center"/>
    </xf>
    <xf numFmtId="0" fontId="2" fillId="2" borderId="40" xfId="2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</cellXfs>
  <cellStyles count="8">
    <cellStyle name="Calculation" xfId="7" builtinId="22"/>
    <cellStyle name="Comma" xfId="5" builtinId="3"/>
    <cellStyle name="Good" xfId="2" builtinId="26"/>
    <cellStyle name="Hyperlink" xfId="6" builtinId="8"/>
    <cellStyle name="Neutral" xfId="3" builtinId="28"/>
    <cellStyle name="Normal" xfId="0" builtinId="0"/>
    <cellStyle name="Normal 11" xfId="4" xr:uid="{2D29EC73-BEBC-4DCC-9906-C9FBE214880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l/CEEW%20-%20Coal%20PP%20LCOE%20(PIB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al%20PP%20LCOE%20(Domestic%20+%20Impor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riable Charges"/>
      <sheetName val="PRE-GST Levellized Tariff"/>
      <sheetName val="POST-GST Levellized Tariff"/>
      <sheetName val="Energy Charges"/>
      <sheetName val="Generation"/>
      <sheetName val="Capital Cost"/>
      <sheetName val="O&amp;M"/>
      <sheetName val="Return on Equity"/>
      <sheetName val="Depreciation"/>
      <sheetName val="Interest on Loan"/>
      <sheetName val="Interest on WC"/>
      <sheetName val="Hard Cost"/>
    </sheetNames>
    <sheetDataSet>
      <sheetData sheetId="0">
        <row r="17">
          <cell r="E17">
            <v>9.8453944000000002E-2</v>
          </cell>
        </row>
      </sheetData>
      <sheetData sheetId="1"/>
      <sheetData sheetId="2">
        <row r="28">
          <cell r="D28">
            <v>2.48</v>
          </cell>
        </row>
      </sheetData>
      <sheetData sheetId="3"/>
      <sheetData sheetId="4">
        <row r="12">
          <cell r="E12">
            <v>1.893429463417124</v>
          </cell>
        </row>
        <row r="28">
          <cell r="E28">
            <v>1.8470090668029508</v>
          </cell>
        </row>
      </sheetData>
      <sheetData sheetId="5">
        <row r="8">
          <cell r="E8">
            <v>4128.1499999999996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riable Charges"/>
      <sheetName val="PRE-GST Levellized Tariff"/>
      <sheetName val="POST-GST Levellized Tariff"/>
      <sheetName val="Energy Charges"/>
      <sheetName val="Generation"/>
      <sheetName val="Capital Cost"/>
      <sheetName val="O&amp;M"/>
      <sheetName val="Return on Equity"/>
      <sheetName val="Depreciation"/>
      <sheetName val="Interest on Loan"/>
      <sheetName val="Interest on WC"/>
      <sheetName val="Hard Cost"/>
      <sheetName val="Exchange Rate"/>
    </sheetNames>
    <sheetDataSet>
      <sheetData sheetId="0"/>
      <sheetData sheetId="1"/>
      <sheetData sheetId="2">
        <row r="20">
          <cell r="E20">
            <v>4351.25</v>
          </cell>
        </row>
      </sheetData>
      <sheetData sheetId="3">
        <row r="20">
          <cell r="E20">
            <v>4351.25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E579-5F41-4FE6-A206-DE182465B484}">
  <dimension ref="B1:G25"/>
  <sheetViews>
    <sheetView topLeftCell="A3" zoomScaleNormal="100" workbookViewId="0">
      <selection activeCell="C9" sqref="C9"/>
    </sheetView>
  </sheetViews>
  <sheetFormatPr defaultRowHeight="15" x14ac:dyDescent="0.25"/>
  <cols>
    <col min="1" max="1" width="9.140625" style="515"/>
    <col min="2" max="2" width="10.7109375" style="515" bestFit="1" customWidth="1"/>
    <col min="3" max="3" width="20.28515625" style="516" bestFit="1" customWidth="1"/>
    <col min="4" max="4" width="67.85546875" style="517" customWidth="1"/>
    <col min="5" max="5" width="5.5703125" style="515" customWidth="1"/>
    <col min="6" max="6" width="7.140625" style="519" customWidth="1"/>
    <col min="7" max="7" width="61.85546875" style="517" customWidth="1"/>
    <col min="8" max="16384" width="9.140625" style="515"/>
  </cols>
  <sheetData>
    <row r="1" spans="2:7" ht="15.75" thickBot="1" x14ac:dyDescent="0.3"/>
    <row r="2" spans="2:7" s="516" customFormat="1" ht="15.75" thickBot="1" x14ac:dyDescent="0.3">
      <c r="B2" s="165" t="s">
        <v>345</v>
      </c>
      <c r="C2" s="505" t="s">
        <v>319</v>
      </c>
      <c r="D2" s="506" t="s">
        <v>320</v>
      </c>
      <c r="F2" s="520"/>
      <c r="G2" s="518"/>
    </row>
    <row r="3" spans="2:7" ht="30" x14ac:dyDescent="0.25">
      <c r="B3" s="510"/>
      <c r="C3" s="523" t="s">
        <v>321</v>
      </c>
      <c r="D3" s="507" t="s">
        <v>344</v>
      </c>
    </row>
    <row r="4" spans="2:7" x14ac:dyDescent="0.25">
      <c r="B4" s="510"/>
      <c r="C4" s="524" t="s">
        <v>322</v>
      </c>
      <c r="D4" s="508" t="s">
        <v>346</v>
      </c>
    </row>
    <row r="5" spans="2:7" x14ac:dyDescent="0.25">
      <c r="B5" s="510"/>
      <c r="C5" s="524" t="s">
        <v>323</v>
      </c>
      <c r="D5" s="508" t="s">
        <v>347</v>
      </c>
    </row>
    <row r="6" spans="2:7" ht="30" x14ac:dyDescent="0.25">
      <c r="B6" s="513"/>
      <c r="C6" s="524" t="s">
        <v>324</v>
      </c>
      <c r="D6" s="508" t="s">
        <v>348</v>
      </c>
    </row>
    <row r="7" spans="2:7" x14ac:dyDescent="0.25">
      <c r="B7" s="514"/>
      <c r="C7" s="524" t="s">
        <v>325</v>
      </c>
      <c r="D7" s="508" t="s">
        <v>349</v>
      </c>
    </row>
    <row r="8" spans="2:7" ht="30" x14ac:dyDescent="0.25">
      <c r="B8" s="513"/>
      <c r="C8" s="524" t="s">
        <v>326</v>
      </c>
      <c r="D8" s="508" t="s">
        <v>350</v>
      </c>
    </row>
    <row r="9" spans="2:7" ht="17.25" customHeight="1" x14ac:dyDescent="0.25">
      <c r="B9" s="511"/>
      <c r="C9" s="524" t="s">
        <v>327</v>
      </c>
      <c r="D9" s="508" t="s">
        <v>363</v>
      </c>
      <c r="F9" s="521" t="s">
        <v>364</v>
      </c>
      <c r="G9" s="522" t="s">
        <v>367</v>
      </c>
    </row>
    <row r="10" spans="2:7" ht="30" x14ac:dyDescent="0.25">
      <c r="B10" s="511"/>
      <c r="C10" s="524" t="s">
        <v>328</v>
      </c>
      <c r="D10" s="508" t="s">
        <v>362</v>
      </c>
      <c r="F10" s="521" t="s">
        <v>365</v>
      </c>
      <c r="G10" s="522" t="s">
        <v>366</v>
      </c>
    </row>
    <row r="11" spans="2:7" x14ac:dyDescent="0.25">
      <c r="B11" s="511"/>
      <c r="C11" s="524" t="s">
        <v>329</v>
      </c>
      <c r="D11" s="508" t="s">
        <v>361</v>
      </c>
    </row>
    <row r="12" spans="2:7" x14ac:dyDescent="0.25">
      <c r="B12" s="511"/>
      <c r="C12" s="524" t="s">
        <v>330</v>
      </c>
      <c r="D12" s="508" t="s">
        <v>360</v>
      </c>
    </row>
    <row r="13" spans="2:7" x14ac:dyDescent="0.25">
      <c r="B13" s="512"/>
      <c r="C13" s="524" t="s">
        <v>331</v>
      </c>
      <c r="D13" s="508" t="s">
        <v>359</v>
      </c>
    </row>
    <row r="14" spans="2:7" ht="30" x14ac:dyDescent="0.25">
      <c r="B14" s="512"/>
      <c r="C14" s="524" t="s">
        <v>332</v>
      </c>
      <c r="D14" s="508" t="s">
        <v>358</v>
      </c>
    </row>
    <row r="15" spans="2:7" x14ac:dyDescent="0.25">
      <c r="B15" s="512"/>
      <c r="C15" s="524" t="s">
        <v>333</v>
      </c>
      <c r="D15" s="508" t="s">
        <v>357</v>
      </c>
    </row>
    <row r="16" spans="2:7" ht="30" x14ac:dyDescent="0.25">
      <c r="B16" s="512"/>
      <c r="C16" s="524" t="s">
        <v>334</v>
      </c>
      <c r="D16" s="508" t="s">
        <v>356</v>
      </c>
    </row>
    <row r="17" spans="2:4" x14ac:dyDescent="0.25">
      <c r="B17" s="514"/>
      <c r="C17" s="524" t="s">
        <v>336</v>
      </c>
      <c r="D17" s="508" t="s">
        <v>351</v>
      </c>
    </row>
    <row r="18" spans="2:4" ht="30" x14ac:dyDescent="0.25">
      <c r="B18" s="514"/>
      <c r="C18" s="524" t="s">
        <v>337</v>
      </c>
      <c r="D18" s="508" t="s">
        <v>352</v>
      </c>
    </row>
    <row r="19" spans="2:4" ht="30" x14ac:dyDescent="0.25">
      <c r="B19" s="514"/>
      <c r="C19" s="524" t="s">
        <v>338</v>
      </c>
      <c r="D19" s="508" t="s">
        <v>353</v>
      </c>
    </row>
    <row r="20" spans="2:4" x14ac:dyDescent="0.25">
      <c r="B20" s="514"/>
      <c r="C20" s="524" t="s">
        <v>339</v>
      </c>
      <c r="D20" s="508" t="s">
        <v>354</v>
      </c>
    </row>
    <row r="21" spans="2:4" ht="30" x14ac:dyDescent="0.25">
      <c r="B21" s="514"/>
      <c r="C21" s="524" t="s">
        <v>340</v>
      </c>
      <c r="D21" s="508" t="s">
        <v>368</v>
      </c>
    </row>
    <row r="22" spans="2:4" ht="30" x14ac:dyDescent="0.25">
      <c r="B22" s="514"/>
      <c r="C22" s="524" t="s">
        <v>341</v>
      </c>
      <c r="D22" s="508" t="s">
        <v>369</v>
      </c>
    </row>
    <row r="23" spans="2:4" ht="30" x14ac:dyDescent="0.25">
      <c r="B23" s="513"/>
      <c r="C23" s="524" t="s">
        <v>335</v>
      </c>
      <c r="D23" s="508" t="s">
        <v>355</v>
      </c>
    </row>
    <row r="24" spans="2:4" x14ac:dyDescent="0.25">
      <c r="B24" s="513"/>
      <c r="C24" s="524" t="s">
        <v>342</v>
      </c>
      <c r="D24" s="508" t="s">
        <v>370</v>
      </c>
    </row>
    <row r="25" spans="2:4" ht="15.75" thickBot="1" x14ac:dyDescent="0.3">
      <c r="B25" s="319"/>
      <c r="C25" s="525" t="s">
        <v>343</v>
      </c>
      <c r="D25" s="509" t="s">
        <v>372</v>
      </c>
    </row>
  </sheetData>
  <hyperlinks>
    <hyperlink ref="C3" location="'S - Solar Park Model'!A1" display="S - Solar Park Model" xr:uid="{8E2FF052-B956-4990-8BEB-109924404A93}"/>
    <hyperlink ref="C4" location="'S - SPM Pre-GST'!A1" display="S - SPM Pre-GST" xr:uid="{1E296BF5-E464-44EC-8B82-865E799EE619}"/>
    <hyperlink ref="C5" location="'S - SPM Post-GST'!A1" display="S - SPM Post-GST" xr:uid="{BAAB9E97-CC4D-44A2-8914-389DAD750FFA}"/>
    <hyperlink ref="C6" location="'S - Generation'!A1" display="S - Generation" xr:uid="{A9A6F427-75C8-4BC3-85A9-2DC5AF67476D}"/>
    <hyperlink ref="C7" location="Summary!A1" display="S - Working Capital" xr:uid="{9CEE45FF-C6C3-49AB-8808-CB9B23A93C7F}"/>
    <hyperlink ref="C8" location="'C - Assumptions'!A1" display="C - Assumptions" xr:uid="{C313469D-6858-49D6-85BC-765FAE5CA959}"/>
    <hyperlink ref="C9" location="'C_D - Pre-GST LCOE'!A1" display="C_D - Pre-GST LCOE" xr:uid="{5303583B-5AC3-43EE-B600-7F1C6FB1951F}"/>
    <hyperlink ref="C10" location="'C_D - Post-GST LCOE'!A1" display="C_D - Post-GST LCOE" xr:uid="{347446CD-1F20-4412-B83C-6792071D3103}"/>
    <hyperlink ref="C11" location="'C_DI - Pre-GST LCOE'!A1" display="C_DI - Pre-GST LCOE" xr:uid="{DD92F023-AD20-420D-BF88-1664D54D7938}"/>
    <hyperlink ref="C12" location="'C_DI - Post-GST LCOE'!A1" display="C_DI - Post-GST LCOE" xr:uid="{630A535A-1EA0-44A4-8394-E47C45C144DE}"/>
    <hyperlink ref="C13" location="'C_D - VC'!A1" display="C_D - VC" xr:uid="{5E9C63A5-19F0-4551-A89E-29F03C0E4AAB}"/>
    <hyperlink ref="C14" location="'C_D - Energy Charges'!A1" display="C_D - Energy Charges" xr:uid="{2C319E56-046D-421E-BBFB-C6EED974B561}"/>
    <hyperlink ref="C15" location="'C_DI - VC'!A1" display="C_DI - VC" xr:uid="{38BC244C-84EE-4E85-96CD-4FA31CE20A74}"/>
    <hyperlink ref="C16" location="'C_DI - Energy Charges'!A1" display="C_DI - Energy Charges" xr:uid="{45F3F3C1-C733-4B62-9156-81EA52FE15C8}"/>
    <hyperlink ref="C23" location="'C - Generation'!A1" display="C - Generation" xr:uid="{5CEAD637-0934-4E0A-A6B2-F526D21DCF4F}"/>
    <hyperlink ref="C17" location="'C - Capital Cost'!A1" display="C - Capital Cost" xr:uid="{659A6E62-479E-4561-AC03-45DF2CC86830}"/>
    <hyperlink ref="C18" location="'C - O&amp;M'!A1" display="C - O&amp;M" xr:uid="{3AFAECE1-DE9B-4290-907B-8352FF98D3FB}"/>
    <hyperlink ref="C19" location="'C - RoE'!A1" display="C - RoE" xr:uid="{551BDFCB-DE17-42A6-B292-CCAD2D5AD763}"/>
    <hyperlink ref="C20" location="'C - Depreciation'!A1" display="C - Depreciation" xr:uid="{3298B9E9-C202-4AD2-88E8-B3EDC246EF0E}"/>
    <hyperlink ref="C21" location="'C - Interest on Loan'!A1" display="C - Interest on Loan" xr:uid="{9D4C2452-DA04-4535-A3ED-86006751DB13}"/>
    <hyperlink ref="C22" location="'C - Interest on WC'!A1" display="C - Interest on WC" xr:uid="{302FBB0B-F553-4C24-8BFC-F7CB99D97309}"/>
    <hyperlink ref="C24" location="'C - Hard Cost'!A1" display="C - Hard Cost" xr:uid="{A4BB8ED0-3B64-49E7-B0D0-BAD3350EFC45}"/>
    <hyperlink ref="C25" location="'Exchange Rate'!A1" display="Exchange Rate" xr:uid="{EC2D6AE9-FAB2-43DD-80AC-1A05DDFF480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9A156-1088-4D5D-A6E9-D3B65017324C}">
  <sheetPr>
    <tabColor rgb="FFFF0000"/>
  </sheetPr>
  <dimension ref="B1:AC29"/>
  <sheetViews>
    <sheetView workbookViewId="0">
      <selection activeCell="B28" sqref="B28"/>
    </sheetView>
  </sheetViews>
  <sheetFormatPr defaultRowHeight="15" x14ac:dyDescent="0.25"/>
  <cols>
    <col min="2" max="2" width="19" bestFit="1" customWidth="1"/>
    <col min="3" max="3" width="9.5703125" bestFit="1" customWidth="1"/>
    <col min="4" max="4" width="9.28515625" bestFit="1" customWidth="1"/>
    <col min="5" max="29" width="10.28515625" bestFit="1" customWidth="1"/>
  </cols>
  <sheetData>
    <row r="1" spans="2:29" x14ac:dyDescent="0.25">
      <c r="B1" s="35" t="s">
        <v>51</v>
      </c>
    </row>
    <row r="2" spans="2:29" ht="15.75" thickBot="1" x14ac:dyDescent="0.3"/>
    <row r="3" spans="2:29" s="2" customFormat="1" ht="15.75" thickBot="1" x14ac:dyDescent="0.3">
      <c r="B3" s="79"/>
      <c r="C3" s="262" t="s">
        <v>1</v>
      </c>
      <c r="D3" s="262" t="s">
        <v>107</v>
      </c>
      <c r="E3" s="82">
        <v>1</v>
      </c>
      <c r="F3" s="82">
        <v>2</v>
      </c>
      <c r="G3" s="82">
        <v>3</v>
      </c>
      <c r="H3" s="82">
        <v>4</v>
      </c>
      <c r="I3" s="82">
        <v>5</v>
      </c>
      <c r="J3" s="82">
        <v>6</v>
      </c>
      <c r="K3" s="82">
        <v>7</v>
      </c>
      <c r="L3" s="82">
        <v>8</v>
      </c>
      <c r="M3" s="82">
        <v>9</v>
      </c>
      <c r="N3" s="82">
        <v>10</v>
      </c>
      <c r="O3" s="82">
        <v>11</v>
      </c>
      <c r="P3" s="82">
        <v>12</v>
      </c>
      <c r="Q3" s="82">
        <v>13</v>
      </c>
      <c r="R3" s="82">
        <v>14</v>
      </c>
      <c r="S3" s="82">
        <v>15</v>
      </c>
      <c r="T3" s="82">
        <v>16</v>
      </c>
      <c r="U3" s="82">
        <v>17</v>
      </c>
      <c r="V3" s="82">
        <v>18</v>
      </c>
      <c r="W3" s="82">
        <v>19</v>
      </c>
      <c r="X3" s="82">
        <v>20</v>
      </c>
      <c r="Y3" s="82">
        <v>21</v>
      </c>
      <c r="Z3" s="82">
        <v>22</v>
      </c>
      <c r="AA3" s="82">
        <v>23</v>
      </c>
      <c r="AB3" s="82">
        <v>24</v>
      </c>
      <c r="AC3" s="83">
        <v>25</v>
      </c>
    </row>
    <row r="4" spans="2:29" x14ac:dyDescent="0.25">
      <c r="B4" s="74" t="s">
        <v>54</v>
      </c>
      <c r="C4" s="112" t="s">
        <v>0</v>
      </c>
      <c r="D4" s="112"/>
      <c r="E4" s="260">
        <f>'C - O&amp;M'!D24</f>
        <v>9040</v>
      </c>
      <c r="F4" s="260">
        <f>'C - O&amp;M'!E24</f>
        <v>9610</v>
      </c>
      <c r="G4" s="260">
        <f>'C - O&amp;M'!F24</f>
        <v>10215</v>
      </c>
      <c r="H4" s="260">
        <f>'C - O&amp;M'!G24</f>
        <v>10857.990318640521</v>
      </c>
      <c r="I4" s="260">
        <f>'C - O&amp;M'!H24</f>
        <v>11541.454112549318</v>
      </c>
      <c r="J4" s="260">
        <f>'C - O&amp;M'!I24</f>
        <v>12267.939012931407</v>
      </c>
      <c r="K4" s="260">
        <f>'C - O&amp;M'!J24</f>
        <v>13040.153013419635</v>
      </c>
      <c r="L4" s="260">
        <f>'C - O&amp;M'!K24</f>
        <v>13860.974564199845</v>
      </c>
      <c r="M4" s="260">
        <f>'C - O&amp;M'!L24</f>
        <v>14733.463301517811</v>
      </c>
      <c r="N4" s="260">
        <f>'C - O&amp;M'!M24</f>
        <v>15660.871452562487</v>
      </c>
      <c r="O4" s="260">
        <f>'C - O&amp;M'!N24</f>
        <v>16646.65595823761</v>
      </c>
      <c r="P4" s="260">
        <f>'C - O&amp;M'!O24</f>
        <v>17694.491359009644</v>
      </c>
      <c r="Q4" s="260">
        <f>'C - O&amp;M'!P24</f>
        <v>18808.283491864422</v>
      </c>
      <c r="R4" s="260">
        <f>'C - O&amp;M'!Q24</f>
        <v>19992.184049428313</v>
      </c>
      <c r="S4" s="260">
        <f>'C - O&amp;M'!R24</f>
        <v>21250.606055523454</v>
      </c>
      <c r="T4" s="260">
        <f>'C - O&amp;M'!S24</f>
        <v>22588.240314842613</v>
      </c>
      <c r="U4" s="260">
        <f>'C - O&amp;M'!T24</f>
        <v>24010.072898060364</v>
      </c>
      <c r="V4" s="260">
        <f>'C - O&amp;M'!U24</f>
        <v>25521.403727556786</v>
      </c>
      <c r="W4" s="260">
        <f>'C - O&amp;M'!V24</f>
        <v>27127.866333032569</v>
      </c>
      <c r="X4" s="260">
        <f>'C - O&amp;M'!W24</f>
        <v>28835.448850655092</v>
      </c>
      <c r="Y4" s="260">
        <f>'C - O&amp;M'!X24</f>
        <v>30650.516344010466</v>
      </c>
      <c r="Z4" s="260">
        <f>'C - O&amp;M'!Y24</f>
        <v>32579.834530063505</v>
      </c>
      <c r="AA4" s="260">
        <f>'C - O&amp;M'!Z24</f>
        <v>34630.594998564826</v>
      </c>
      <c r="AB4" s="260">
        <f>'C - O&amp;M'!AA24</f>
        <v>36810.442018911184</v>
      </c>
      <c r="AC4" s="261">
        <f>'C - O&amp;M'!AB24</f>
        <v>39127.501034382367</v>
      </c>
    </row>
    <row r="5" spans="2:29" x14ac:dyDescent="0.25">
      <c r="B5" s="66" t="s">
        <v>80</v>
      </c>
      <c r="C5" s="10" t="s">
        <v>0</v>
      </c>
      <c r="D5" s="10"/>
      <c r="E5" s="108">
        <f>'C - RoE'!D26</f>
        <v>18714.610999989374</v>
      </c>
      <c r="F5" s="108">
        <f>'C - RoE'!E26</f>
        <v>18714.610999989374</v>
      </c>
      <c r="G5" s="108">
        <f>'C - RoE'!F26</f>
        <v>18714.610999989374</v>
      </c>
      <c r="H5" s="108">
        <f>'C - RoE'!G26</f>
        <v>18714.610999989374</v>
      </c>
      <c r="I5" s="108">
        <f>'C - RoE'!H26</f>
        <v>18714.610999989374</v>
      </c>
      <c r="J5" s="108">
        <f>'C - RoE'!I26</f>
        <v>18714.610999989374</v>
      </c>
      <c r="K5" s="108">
        <f>'C - RoE'!J26</f>
        <v>18714.610999989374</v>
      </c>
      <c r="L5" s="108">
        <f>'C - RoE'!K26</f>
        <v>18714.610999989374</v>
      </c>
      <c r="M5" s="108">
        <f>'C - RoE'!L26</f>
        <v>18714.610999989374</v>
      </c>
      <c r="N5" s="108">
        <f>'C - RoE'!M26</f>
        <v>18714.610999989374</v>
      </c>
      <c r="O5" s="108">
        <f>'C - RoE'!N26</f>
        <v>18714.610999989374</v>
      </c>
      <c r="P5" s="108">
        <f>'C - RoE'!O26</f>
        <v>18714.610999989374</v>
      </c>
      <c r="Q5" s="108">
        <f>'C - RoE'!P26</f>
        <v>18714.610999989374</v>
      </c>
      <c r="R5" s="108">
        <f>'C - RoE'!Q26</f>
        <v>18714.610999989374</v>
      </c>
      <c r="S5" s="108">
        <f>'C - RoE'!R26</f>
        <v>18714.610999989374</v>
      </c>
      <c r="T5" s="108">
        <f>'C - RoE'!S26</f>
        <v>18714.610999989374</v>
      </c>
      <c r="U5" s="108">
        <f>'C - RoE'!T26</f>
        <v>18714.610999989374</v>
      </c>
      <c r="V5" s="108">
        <f>'C - RoE'!U26</f>
        <v>18714.610999989374</v>
      </c>
      <c r="W5" s="108">
        <f>'C - RoE'!V26</f>
        <v>18714.610999989374</v>
      </c>
      <c r="X5" s="108">
        <f>'C - RoE'!W26</f>
        <v>18714.610999989374</v>
      </c>
      <c r="Y5" s="108">
        <f>'C - RoE'!X26</f>
        <v>18714.610999989374</v>
      </c>
      <c r="Z5" s="108">
        <f>'C - RoE'!Y26</f>
        <v>18714.610999989374</v>
      </c>
      <c r="AA5" s="108">
        <f>'C - RoE'!Z26</f>
        <v>18714.610999989374</v>
      </c>
      <c r="AB5" s="108">
        <f>'C - RoE'!AA26</f>
        <v>18714.610999989374</v>
      </c>
      <c r="AC5" s="19">
        <f>'C - RoE'!AB26</f>
        <v>18714.610999989374</v>
      </c>
    </row>
    <row r="6" spans="2:29" x14ac:dyDescent="0.25">
      <c r="B6" s="66" t="s">
        <v>75</v>
      </c>
      <c r="C6" s="10" t="s">
        <v>0</v>
      </c>
      <c r="D6" s="10"/>
      <c r="E6" s="108">
        <f>'C - Depreciation'!D20</f>
        <v>16714.934288938126</v>
      </c>
      <c r="F6" s="108">
        <f>'C - Depreciation'!E20</f>
        <v>16714.934288938126</v>
      </c>
      <c r="G6" s="108">
        <f>'C - Depreciation'!F20</f>
        <v>16714.934288938126</v>
      </c>
      <c r="H6" s="108">
        <f>'C - Depreciation'!G20</f>
        <v>16714.934288938126</v>
      </c>
      <c r="I6" s="108">
        <f>'C - Depreciation'!H20</f>
        <v>16714.934288938126</v>
      </c>
      <c r="J6" s="108">
        <f>'C - Depreciation'!I20</f>
        <v>16714.934288938126</v>
      </c>
      <c r="K6" s="108">
        <f>'C - Depreciation'!J20</f>
        <v>16714.934288938126</v>
      </c>
      <c r="L6" s="108">
        <f>'C - Depreciation'!K20</f>
        <v>16714.934288938126</v>
      </c>
      <c r="M6" s="108">
        <f>'C - Depreciation'!L20</f>
        <v>16714.934288938126</v>
      </c>
      <c r="N6" s="108">
        <f>'C - Depreciation'!M20</f>
        <v>16714.934288938126</v>
      </c>
      <c r="O6" s="108">
        <f>'C - Depreciation'!N20</f>
        <v>16714.934288938126</v>
      </c>
      <c r="P6" s="108">
        <f>'C - Depreciation'!O20</f>
        <v>16714.934288938126</v>
      </c>
      <c r="Q6" s="108">
        <f>'C - Depreciation'!P20</f>
        <v>6489.6998659702958</v>
      </c>
      <c r="R6" s="108">
        <f>'C - Depreciation'!Q20</f>
        <v>6489.6998659702958</v>
      </c>
      <c r="S6" s="108">
        <f>'C - Depreciation'!R20</f>
        <v>6489.6998659702958</v>
      </c>
      <c r="T6" s="108">
        <f>'C - Depreciation'!S20</f>
        <v>6489.6998659702958</v>
      </c>
      <c r="U6" s="108">
        <f>'C - Depreciation'!T20</f>
        <v>6489.6998659702958</v>
      </c>
      <c r="V6" s="108">
        <f>'C - Depreciation'!U20</f>
        <v>6489.6998659702958</v>
      </c>
      <c r="W6" s="108">
        <f>'C - Depreciation'!V20</f>
        <v>6489.6998659702958</v>
      </c>
      <c r="X6" s="108">
        <f>'C - Depreciation'!W20</f>
        <v>6489.6998659702958</v>
      </c>
      <c r="Y6" s="108">
        <f>'C - Depreciation'!X20</f>
        <v>6489.6998659702958</v>
      </c>
      <c r="Z6" s="108">
        <f>'C - Depreciation'!Y20</f>
        <v>6489.6998659702958</v>
      </c>
      <c r="AA6" s="108">
        <f>'C - Depreciation'!Z20</f>
        <v>6489.6998659702958</v>
      </c>
      <c r="AB6" s="108">
        <f>'C - Depreciation'!AA20</f>
        <v>6489.6998659702958</v>
      </c>
      <c r="AC6" s="19">
        <f>'C - Depreciation'!AB20</f>
        <v>6489.6998659702958</v>
      </c>
    </row>
    <row r="7" spans="2:29" x14ac:dyDescent="0.25">
      <c r="B7" s="66" t="s">
        <v>76</v>
      </c>
      <c r="C7" s="10" t="s">
        <v>0</v>
      </c>
      <c r="D7" s="10"/>
      <c r="E7" s="108">
        <f>'C - Interest on Loan'!D25</f>
        <v>26591.940914219744</v>
      </c>
      <c r="F7" s="108">
        <f>'C - Interest on Loan'!E25</f>
        <v>21395.115889840803</v>
      </c>
      <c r="G7" s="108">
        <f>'C - Interest on Loan'!F25</f>
        <v>16821.909868387331</v>
      </c>
      <c r="H7" s="108">
        <f>'C - Interest on Loan'!G25</f>
        <v>12797.488569508278</v>
      </c>
      <c r="I7" s="108">
        <f>'C - Interest on Loan'!H25</f>
        <v>9255.9978264947113</v>
      </c>
      <c r="J7" s="108">
        <f>'C - Interest on Loan'!I25</f>
        <v>6139.4859726427703</v>
      </c>
      <c r="K7" s="108">
        <f>'C - Interest on Loan'!J25</f>
        <v>3396.9555412530631</v>
      </c>
      <c r="L7" s="108">
        <f>'C - Interest on Loan'!K25</f>
        <v>983.52876163012058</v>
      </c>
      <c r="M7" s="108">
        <f>'C - Interest on Loan'!L25</f>
        <v>0</v>
      </c>
      <c r="N7" s="108">
        <f>'C - Interest on Loan'!M25</f>
        <v>0</v>
      </c>
      <c r="O7" s="108">
        <f>'C - Interest on Loan'!N25</f>
        <v>0</v>
      </c>
      <c r="P7" s="108">
        <f>'C - Interest on Loan'!O25</f>
        <v>0</v>
      </c>
      <c r="Q7" s="108">
        <f>'C - Interest on Loan'!P25</f>
        <v>0</v>
      </c>
      <c r="R7" s="108">
        <f>'C - Interest on Loan'!Q25</f>
        <v>0</v>
      </c>
      <c r="S7" s="108">
        <f>'C - Interest on Loan'!R25</f>
        <v>0</v>
      </c>
      <c r="T7" s="108">
        <f>'C - Interest on Loan'!S25</f>
        <v>0</v>
      </c>
      <c r="U7" s="108">
        <f>'C - Interest on Loan'!T25</f>
        <v>0</v>
      </c>
      <c r="V7" s="108">
        <f>'C - Interest on Loan'!U25</f>
        <v>0</v>
      </c>
      <c r="W7" s="108">
        <f>'C - Interest on Loan'!V25</f>
        <v>0</v>
      </c>
      <c r="X7" s="108">
        <f>'C - Interest on Loan'!W25</f>
        <v>0</v>
      </c>
      <c r="Y7" s="108">
        <f>'C - Interest on Loan'!X25</f>
        <v>0</v>
      </c>
      <c r="Z7" s="108">
        <f>'C - Interest on Loan'!Y25</f>
        <v>0</v>
      </c>
      <c r="AA7" s="108">
        <f>'C - Interest on Loan'!Z25</f>
        <v>0</v>
      </c>
      <c r="AB7" s="108">
        <f>'C - Interest on Loan'!AA25</f>
        <v>0</v>
      </c>
      <c r="AC7" s="19">
        <f>'C - Interest on Loan'!AB25</f>
        <v>0</v>
      </c>
    </row>
    <row r="8" spans="2:29" x14ac:dyDescent="0.25">
      <c r="B8" s="66" t="s">
        <v>81</v>
      </c>
      <c r="C8" s="10" t="s">
        <v>0</v>
      </c>
      <c r="D8" s="108"/>
      <c r="E8" s="108">
        <f ca="1">'C - Interest on WC'!D47</f>
        <v>2859.41824211108</v>
      </c>
      <c r="F8" s="108">
        <f ca="1">'C - Interest on WC'!E47</f>
        <v>2779.6836366750267</v>
      </c>
      <c r="G8" s="108">
        <f ca="1">'C - Interest on WC'!F47</f>
        <v>2715.6028514662321</v>
      </c>
      <c r="H8" s="108">
        <f ca="1">'C - Interest on WC'!G47</f>
        <v>2665.7206184733241</v>
      </c>
      <c r="I8" s="108">
        <f ca="1">'C - Interest on WC'!H47</f>
        <v>2628.7475721635728</v>
      </c>
      <c r="J8" s="108">
        <f ca="1">'C - Interest on WC'!I47</f>
        <v>2603.5704032737576</v>
      </c>
      <c r="K8" s="108">
        <f ca="1">'C - Interest on WC'!J47</f>
        <v>2589.2368309561225</v>
      </c>
      <c r="L8" s="108">
        <f ca="1">'C - Interest on WC'!K47</f>
        <v>2584.9380060511335</v>
      </c>
      <c r="M8" s="108">
        <f ca="1">'C - Interest on WC'!L47</f>
        <v>2614.8495227623798</v>
      </c>
      <c r="N8" s="108">
        <f ca="1">'C - Interest on WC'!M47</f>
        <v>2669.4326727966159</v>
      </c>
      <c r="O8" s="108">
        <f ca="1">'C - Interest on WC'!N47</f>
        <v>2727.45159738131</v>
      </c>
      <c r="P8" s="108">
        <f ca="1">'C - Interest on WC'!O47</f>
        <v>2789.1225637482744</v>
      </c>
      <c r="Q8" s="108">
        <f ca="1">'C - Interest on WC'!P47</f>
        <v>2631.7820588052787</v>
      </c>
      <c r="R8" s="108">
        <f ca="1">'C - Interest on WC'!Q47</f>
        <v>2701.4612196864236</v>
      </c>
      <c r="S8" s="108">
        <f ca="1">'C - Interest on WC'!R47</f>
        <v>2775.5263840778534</v>
      </c>
      <c r="T8" s="108">
        <f ca="1">'C - Interest on WC'!S47</f>
        <v>2854.2536320377831</v>
      </c>
      <c r="U8" s="108">
        <f ca="1">'C - Interest on WC'!T47</f>
        <v>2937.9364216767563</v>
      </c>
      <c r="V8" s="108">
        <f ca="1">'C - Interest on WC'!U47</f>
        <v>3026.8866830313141</v>
      </c>
      <c r="W8" s="108">
        <f ca="1">'C - Interest on WC'!V47</f>
        <v>3121.435980792287</v>
      </c>
      <c r="X8" s="108">
        <f ca="1">'C - Interest on WC'!W47</f>
        <v>3221.9367502218411</v>
      </c>
      <c r="Y8" s="108">
        <f ca="1">'C - Interest on WC'!X47</f>
        <v>3328.76361086619</v>
      </c>
      <c r="Z8" s="108">
        <f ca="1">'C - Interest on WC'!Y47</f>
        <v>3442.3147629608648</v>
      </c>
      <c r="AA8" s="108">
        <f ca="1">'C - Interest on WC'!Z47</f>
        <v>3563.013471733695</v>
      </c>
      <c r="AB8" s="108">
        <f ca="1">'C - Interest on WC'!AA47</f>
        <v>3691.3096451382758</v>
      </c>
      <c r="AC8" s="19">
        <f ca="1">'C - Interest on WC'!AB47</f>
        <v>3827.6815108989776</v>
      </c>
    </row>
    <row r="9" spans="2:29" ht="15.75" thickBot="1" x14ac:dyDescent="0.3">
      <c r="B9" s="141" t="s">
        <v>82</v>
      </c>
      <c r="C9" s="110" t="s">
        <v>0</v>
      </c>
      <c r="D9" s="110"/>
      <c r="E9" s="258">
        <f ca="1">SUM(E4:E8)</f>
        <v>73920.904445258318</v>
      </c>
      <c r="F9" s="258">
        <f t="shared" ref="F9:AC9" ca="1" si="0">SUM(F4:F8)</f>
        <v>69214.344815443328</v>
      </c>
      <c r="G9" s="258">
        <f t="shared" ca="1" si="0"/>
        <v>65182.058008781067</v>
      </c>
      <c r="H9" s="258">
        <f t="shared" ca="1" si="0"/>
        <v>61750.744795549617</v>
      </c>
      <c r="I9" s="258">
        <f t="shared" ca="1" si="0"/>
        <v>58855.7448001351</v>
      </c>
      <c r="J9" s="258">
        <f t="shared" ca="1" si="0"/>
        <v>56440.540677775425</v>
      </c>
      <c r="K9" s="258">
        <f t="shared" ca="1" si="0"/>
        <v>54455.890674556322</v>
      </c>
      <c r="L9" s="258">
        <f t="shared" ca="1" si="0"/>
        <v>52858.986620808602</v>
      </c>
      <c r="M9" s="258">
        <f t="shared" ca="1" si="0"/>
        <v>52777.858113207694</v>
      </c>
      <c r="N9" s="258">
        <f t="shared" ca="1" si="0"/>
        <v>53759.849414286604</v>
      </c>
      <c r="O9" s="258">
        <f t="shared" ca="1" si="0"/>
        <v>54803.652844546421</v>
      </c>
      <c r="P9" s="258">
        <f t="shared" ca="1" si="0"/>
        <v>55913.159211685415</v>
      </c>
      <c r="Q9" s="258">
        <f t="shared" ca="1" si="0"/>
        <v>46644.376416629369</v>
      </c>
      <c r="R9" s="258">
        <f t="shared" ca="1" si="0"/>
        <v>47897.956135074412</v>
      </c>
      <c r="S9" s="258">
        <f t="shared" ca="1" si="0"/>
        <v>49230.44330556097</v>
      </c>
      <c r="T9" s="258">
        <f t="shared" ca="1" si="0"/>
        <v>50646.80481284007</v>
      </c>
      <c r="U9" s="258">
        <f t="shared" ca="1" si="0"/>
        <v>52152.320185696793</v>
      </c>
      <c r="V9" s="258">
        <f t="shared" ca="1" si="0"/>
        <v>53752.601276547772</v>
      </c>
      <c r="W9" s="258">
        <f t="shared" ca="1" si="0"/>
        <v>55453.61317978453</v>
      </c>
      <c r="X9" s="258">
        <f t="shared" ca="1" si="0"/>
        <v>57261.696466836598</v>
      </c>
      <c r="Y9" s="258">
        <f t="shared" ca="1" si="0"/>
        <v>59183.590820836325</v>
      </c>
      <c r="Z9" s="258">
        <f t="shared" ca="1" si="0"/>
        <v>61226.460158984039</v>
      </c>
      <c r="AA9" s="258">
        <f t="shared" ca="1" si="0"/>
        <v>63397.919336258186</v>
      </c>
      <c r="AB9" s="258">
        <f t="shared" ca="1" si="0"/>
        <v>65706.062530009134</v>
      </c>
      <c r="AC9" s="259">
        <f t="shared" ca="1" si="0"/>
        <v>68159.493411241012</v>
      </c>
    </row>
    <row r="10" spans="2:29" ht="15.75" thickBot="1" x14ac:dyDescent="0.3"/>
    <row r="11" spans="2:29" x14ac:dyDescent="0.25">
      <c r="B11" s="198" t="s">
        <v>84</v>
      </c>
      <c r="C11" s="263">
        <f>'C - Assumptions'!E16</f>
        <v>9.8453944000000002E-2</v>
      </c>
      <c r="D11" s="26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52"/>
    </row>
    <row r="12" spans="2:29" ht="15.75" thickBot="1" x14ac:dyDescent="0.3">
      <c r="B12" s="141" t="s">
        <v>83</v>
      </c>
      <c r="C12" s="110"/>
      <c r="D12" s="110"/>
      <c r="E12" s="110">
        <f>1/(1+C11)^0</f>
        <v>1</v>
      </c>
      <c r="F12" s="264">
        <f t="shared" ref="F12:AC12" si="1">1/(1+$C$11)^E3</f>
        <v>0.91037043970957776</v>
      </c>
      <c r="G12" s="264">
        <f t="shared" si="1"/>
        <v>0.82877433749700991</v>
      </c>
      <c r="H12" s="264">
        <f t="shared" si="1"/>
        <v>0.754491658047167</v>
      </c>
      <c r="I12" s="264">
        <f t="shared" si="1"/>
        <v>0.68686690249360771</v>
      </c>
      <c r="J12" s="264">
        <f t="shared" si="1"/>
        <v>0.62530332404506139</v>
      </c>
      <c r="K12" s="264">
        <f t="shared" si="1"/>
        <v>0.56925766206276307</v>
      </c>
      <c r="L12" s="264">
        <f t="shared" si="1"/>
        <v>0.51823534812012384</v>
      </c>
      <c r="M12" s="264">
        <f t="shared" si="1"/>
        <v>0.47178614174116323</v>
      </c>
      <c r="N12" s="264">
        <f t="shared" si="1"/>
        <v>0.429500157305788</v>
      </c>
      <c r="O12" s="264">
        <f t="shared" si="1"/>
        <v>0.39100424706180303</v>
      </c>
      <c r="P12" s="264">
        <f t="shared" si="1"/>
        <v>0.35595870832596599</v>
      </c>
      <c r="Q12" s="264">
        <f t="shared" si="1"/>
        <v>0.324054285817163</v>
      </c>
      <c r="R12" s="264">
        <f t="shared" si="1"/>
        <v>0.29500944266914386</v>
      </c>
      <c r="S12" s="264">
        <f t="shared" si="1"/>
        <v>0.26856787604118593</v>
      </c>
      <c r="T12" s="264">
        <f t="shared" si="1"/>
        <v>0.24449625540348183</v>
      </c>
      <c r="U12" s="264">
        <f t="shared" si="1"/>
        <v>0.222582163539013</v>
      </c>
      <c r="V12" s="264">
        <f t="shared" si="1"/>
        <v>0.20263222209252044</v>
      </c>
      <c r="W12" s="264">
        <f t="shared" si="1"/>
        <v>0.18447038512569661</v>
      </c>
      <c r="X12" s="264">
        <f t="shared" si="1"/>
        <v>0.16793638562027557</v>
      </c>
      <c r="Y12" s="264">
        <f t="shared" si="1"/>
        <v>0.15288432122036749</v>
      </c>
      <c r="Z12" s="264">
        <f t="shared" si="1"/>
        <v>0.13918136673408629</v>
      </c>
      <c r="AA12" s="264">
        <f t="shared" si="1"/>
        <v>0.12670660203309012</v>
      </c>
      <c r="AB12" s="264">
        <f t="shared" si="1"/>
        <v>0.11534994500697074</v>
      </c>
      <c r="AC12" s="265">
        <f t="shared" si="1"/>
        <v>0.10501118015647155</v>
      </c>
    </row>
    <row r="13" spans="2:29" ht="15.75" thickBot="1" x14ac:dyDescent="0.3"/>
    <row r="14" spans="2:29" x14ac:dyDescent="0.25">
      <c r="B14" s="198" t="s">
        <v>85</v>
      </c>
      <c r="C14" s="143" t="s">
        <v>0</v>
      </c>
      <c r="D14" s="143"/>
      <c r="E14" s="266">
        <f>E4*E$12</f>
        <v>9040</v>
      </c>
      <c r="F14" s="266">
        <f t="shared" ref="F14:AC14" si="2">F4*F$12</f>
        <v>8748.6599256090431</v>
      </c>
      <c r="G14" s="266">
        <f t="shared" si="2"/>
        <v>8465.9298575319553</v>
      </c>
      <c r="H14" s="266">
        <f t="shared" si="2"/>
        <v>8192.2631185711743</v>
      </c>
      <c r="I14" s="266">
        <f t="shared" si="2"/>
        <v>7927.4428365588601</v>
      </c>
      <c r="J14" s="266">
        <f t="shared" si="2"/>
        <v>7671.183043968098</v>
      </c>
      <c r="K14" s="266">
        <f t="shared" si="2"/>
        <v>7423.2070173599559</v>
      </c>
      <c r="L14" s="266">
        <f t="shared" si="2"/>
        <v>7183.2469785622889</v>
      </c>
      <c r="M14" s="266">
        <f t="shared" si="2"/>
        <v>6951.0438055081095</v>
      </c>
      <c r="N14" s="266">
        <f t="shared" si="2"/>
        <v>6726.3467524213129</v>
      </c>
      <c r="O14" s="266">
        <f t="shared" si="2"/>
        <v>6508.913179047574</v>
      </c>
      <c r="P14" s="266">
        <f t="shared" si="2"/>
        <v>6298.5082886380396</v>
      </c>
      <c r="Q14" s="266">
        <f t="shared" si="2"/>
        <v>6094.9048744028623</v>
      </c>
      <c r="R14" s="266">
        <f t="shared" si="2"/>
        <v>5897.8830741607944</v>
      </c>
      <c r="S14" s="266">
        <f t="shared" si="2"/>
        <v>5707.2301329198981</v>
      </c>
      <c r="T14" s="266">
        <f t="shared" si="2"/>
        <v>5522.7401731329846</v>
      </c>
      <c r="U14" s="266">
        <f t="shared" si="2"/>
        <v>5344.2139723796954</v>
      </c>
      <c r="V14" s="266">
        <f t="shared" si="2"/>
        <v>5171.4587482351653</v>
      </c>
      <c r="W14" s="266">
        <f t="shared" si="2"/>
        <v>5004.2879500929366</v>
      </c>
      <c r="X14" s="266">
        <f t="shared" si="2"/>
        <v>4842.5210577173457</v>
      </c>
      <c r="Y14" s="266">
        <f t="shared" si="2"/>
        <v>4685.9833863078202</v>
      </c>
      <c r="Z14" s="266">
        <f t="shared" si="2"/>
        <v>4534.5058978646166</v>
      </c>
      <c r="AA14" s="266">
        <f t="shared" si="2"/>
        <v>4387.925018652274</v>
      </c>
      <c r="AB14" s="266">
        <f t="shared" si="2"/>
        <v>4246.0824625636897</v>
      </c>
      <c r="AC14" s="15">
        <f t="shared" si="2"/>
        <v>4108.8250601940535</v>
      </c>
    </row>
    <row r="15" spans="2:29" x14ac:dyDescent="0.25">
      <c r="B15" s="66" t="s">
        <v>86</v>
      </c>
      <c r="C15" s="10" t="s">
        <v>0</v>
      </c>
      <c r="D15" s="10"/>
      <c r="E15" s="108">
        <f t="shared" ref="E15:AC15" si="3">E5*E$12</f>
        <v>18714.610999989374</v>
      </c>
      <c r="F15" s="108">
        <f t="shared" si="3"/>
        <v>17037.228645054027</v>
      </c>
      <c r="G15" s="108">
        <f t="shared" si="3"/>
        <v>15510.189333030448</v>
      </c>
      <c r="H15" s="108">
        <f t="shared" si="3"/>
        <v>14120.017883089733</v>
      </c>
      <c r="I15" s="108">
        <f t="shared" si="3"/>
        <v>12854.446888935499</v>
      </c>
      <c r="J15" s="108">
        <f t="shared" si="3"/>
        <v>11702.308466503626</v>
      </c>
      <c r="K15" s="108">
        <f t="shared" si="3"/>
        <v>10653.43570426802</v>
      </c>
      <c r="L15" s="108">
        <f t="shared" si="3"/>
        <v>9698.5729465121931</v>
      </c>
      <c r="M15" s="108">
        <f t="shared" si="3"/>
        <v>8829.2941178717192</v>
      </c>
      <c r="N15" s="108">
        <f t="shared" si="3"/>
        <v>8037.9283684120664</v>
      </c>
      <c r="O15" s="108">
        <f t="shared" si="3"/>
        <v>7317.492383105382</v>
      </c>
      <c r="P15" s="108">
        <f t="shared" si="3"/>
        <v>6661.6287583791327</v>
      </c>
      <c r="Q15" s="108">
        <f t="shared" si="3"/>
        <v>6064.5499019475792</v>
      </c>
      <c r="R15" s="108">
        <f t="shared" si="3"/>
        <v>5520.986960876694</v>
      </c>
      <c r="S15" s="108">
        <f t="shared" si="3"/>
        <v>5026.1433272041604</v>
      </c>
      <c r="T15" s="108">
        <f t="shared" si="3"/>
        <v>4575.6523108302126</v>
      </c>
      <c r="U15" s="108">
        <f t="shared" si="3"/>
        <v>4165.5386061686468</v>
      </c>
      <c r="V15" s="108">
        <f t="shared" si="3"/>
        <v>3792.183212524973</v>
      </c>
      <c r="W15" s="108">
        <f t="shared" si="3"/>
        <v>3452.2914986456381</v>
      </c>
      <c r="X15" s="108">
        <f t="shared" si="3"/>
        <v>3142.8641296276664</v>
      </c>
      <c r="Y15" s="108">
        <f t="shared" si="3"/>
        <v>2861.1705996365986</v>
      </c>
      <c r="Z15" s="108">
        <f t="shared" si="3"/>
        <v>2604.7251368752864</v>
      </c>
      <c r="AA15" s="108">
        <f t="shared" si="3"/>
        <v>2371.2647681797444</v>
      </c>
      <c r="AB15" s="108">
        <f t="shared" si="3"/>
        <v>2158.7293496756238</v>
      </c>
      <c r="AC15" s="19">
        <f t="shared" si="3"/>
        <v>1965.2433872781685</v>
      </c>
    </row>
    <row r="16" spans="2:29" x14ac:dyDescent="0.25">
      <c r="B16" s="66" t="s">
        <v>87</v>
      </c>
      <c r="C16" s="10" t="s">
        <v>0</v>
      </c>
      <c r="D16" s="10"/>
      <c r="E16" s="108">
        <f t="shared" ref="E16:AC16" si="4">E6*E$12</f>
        <v>16714.934288938126</v>
      </c>
      <c r="F16" s="108">
        <f t="shared" si="4"/>
        <v>15216.782078337301</v>
      </c>
      <c r="G16" s="108">
        <f t="shared" si="4"/>
        <v>13852.90859162075</v>
      </c>
      <c r="H16" s="108">
        <f t="shared" si="4"/>
        <v>12611.278485810371</v>
      </c>
      <c r="I16" s="108">
        <f t="shared" si="4"/>
        <v>11480.935140427124</v>
      </c>
      <c r="J16" s="108">
        <f t="shared" si="4"/>
        <v>10451.903972067785</v>
      </c>
      <c r="K16" s="108">
        <f t="shared" si="4"/>
        <v>9515.1044148536312</v>
      </c>
      <c r="L16" s="108">
        <f t="shared" si="4"/>
        <v>8662.269790032844</v>
      </c>
      <c r="M16" s="108">
        <f t="shared" si="4"/>
        <v>7885.8743576351926</v>
      </c>
      <c r="N16" s="108">
        <f t="shared" si="4"/>
        <v>7179.0669064548347</v>
      </c>
      <c r="O16" s="108">
        <f t="shared" si="4"/>
        <v>6535.6102963337662</v>
      </c>
      <c r="P16" s="108">
        <f t="shared" si="4"/>
        <v>5949.8264192438137</v>
      </c>
      <c r="Q16" s="108">
        <f t="shared" si="4"/>
        <v>2103.0150552347427</v>
      </c>
      <c r="R16" s="108">
        <f t="shared" si="4"/>
        <v>1914.5227405499145</v>
      </c>
      <c r="S16" s="108">
        <f t="shared" si="4"/>
        <v>1742.9249091484114</v>
      </c>
      <c r="T16" s="108">
        <f t="shared" si="4"/>
        <v>1586.7073159222152</v>
      </c>
      <c r="U16" s="108">
        <f t="shared" si="4"/>
        <v>1444.4914368865111</v>
      </c>
      <c r="V16" s="108">
        <f t="shared" si="4"/>
        <v>1315.0223045550931</v>
      </c>
      <c r="W16" s="108">
        <f t="shared" si="4"/>
        <v>1197.1574336257222</v>
      </c>
      <c r="X16" s="108">
        <f t="shared" si="4"/>
        <v>1089.8567392514383</v>
      </c>
      <c r="Y16" s="108">
        <f t="shared" si="4"/>
        <v>992.17335893277857</v>
      </c>
      <c r="Z16" s="108">
        <f t="shared" si="4"/>
        <v>903.24529703976236</v>
      </c>
      <c r="AA16" s="108">
        <f t="shared" si="4"/>
        <v>822.28781823169652</v>
      </c>
      <c r="AB16" s="108">
        <f t="shared" si="4"/>
        <v>748.58652265141905</v>
      </c>
      <c r="AC16" s="19">
        <f t="shared" si="4"/>
        <v>681.49104178683604</v>
      </c>
    </row>
    <row r="17" spans="2:29" x14ac:dyDescent="0.25">
      <c r="B17" s="66" t="s">
        <v>88</v>
      </c>
      <c r="C17" s="10" t="s">
        <v>0</v>
      </c>
      <c r="D17" s="10"/>
      <c r="E17" s="108">
        <f t="shared" ref="E17:AC17" si="5">E7*E$12</f>
        <v>26591.940914219744</v>
      </c>
      <c r="F17" s="108">
        <f t="shared" si="5"/>
        <v>19477.481060271744</v>
      </c>
      <c r="G17" s="108">
        <f t="shared" si="5"/>
        <v>13941.567206607124</v>
      </c>
      <c r="H17" s="108">
        <f t="shared" si="5"/>
        <v>9655.598369647967</v>
      </c>
      <c r="I17" s="108">
        <f t="shared" si="5"/>
        <v>6357.6385565719875</v>
      </c>
      <c r="J17" s="108">
        <f t="shared" si="5"/>
        <v>3839.0409866215509</v>
      </c>
      <c r="K17" s="108">
        <f t="shared" si="5"/>
        <v>1933.7429695448666</v>
      </c>
      <c r="L17" s="108">
        <f t="shared" si="5"/>
        <v>509.69937016953986</v>
      </c>
      <c r="M17" s="108">
        <f t="shared" si="5"/>
        <v>0</v>
      </c>
      <c r="N17" s="108">
        <f t="shared" si="5"/>
        <v>0</v>
      </c>
      <c r="O17" s="108">
        <f t="shared" si="5"/>
        <v>0</v>
      </c>
      <c r="P17" s="108">
        <f t="shared" si="5"/>
        <v>0</v>
      </c>
      <c r="Q17" s="108">
        <f t="shared" si="5"/>
        <v>0</v>
      </c>
      <c r="R17" s="108">
        <f t="shared" si="5"/>
        <v>0</v>
      </c>
      <c r="S17" s="108">
        <f t="shared" si="5"/>
        <v>0</v>
      </c>
      <c r="T17" s="108">
        <f t="shared" si="5"/>
        <v>0</v>
      </c>
      <c r="U17" s="108">
        <f t="shared" si="5"/>
        <v>0</v>
      </c>
      <c r="V17" s="108">
        <f t="shared" si="5"/>
        <v>0</v>
      </c>
      <c r="W17" s="108">
        <f t="shared" si="5"/>
        <v>0</v>
      </c>
      <c r="X17" s="108">
        <f t="shared" si="5"/>
        <v>0</v>
      </c>
      <c r="Y17" s="108">
        <f t="shared" si="5"/>
        <v>0</v>
      </c>
      <c r="Z17" s="108">
        <f t="shared" si="5"/>
        <v>0</v>
      </c>
      <c r="AA17" s="108">
        <f t="shared" si="5"/>
        <v>0</v>
      </c>
      <c r="AB17" s="108">
        <f t="shared" si="5"/>
        <v>0</v>
      </c>
      <c r="AC17" s="19">
        <f t="shared" si="5"/>
        <v>0</v>
      </c>
    </row>
    <row r="18" spans="2:29" ht="15.75" thickBot="1" x14ac:dyDescent="0.3">
      <c r="B18" s="141" t="s">
        <v>89</v>
      </c>
      <c r="C18" s="110" t="s">
        <v>0</v>
      </c>
      <c r="D18" s="258"/>
      <c r="E18" s="258">
        <f t="shared" ref="E18:AC18" ca="1" si="6">E8*E$12</f>
        <v>2859.41824211108</v>
      </c>
      <c r="F18" s="258">
        <f t="shared" ca="1" si="6"/>
        <v>2530.5418145733624</v>
      </c>
      <c r="G18" s="258">
        <f t="shared" ca="1" si="6"/>
        <v>2250.6219541289174</v>
      </c>
      <c r="H18" s="258">
        <f t="shared" ca="1" si="6"/>
        <v>2011.2639693224578</v>
      </c>
      <c r="I18" s="258">
        <f t="shared" ca="1" si="6"/>
        <v>1805.5997023295847</v>
      </c>
      <c r="J18" s="258">
        <f t="shared" ca="1" si="6"/>
        <v>1628.0212275524216</v>
      </c>
      <c r="K18" s="258">
        <f t="shared" ca="1" si="6"/>
        <v>1473.94290491688</v>
      </c>
      <c r="L18" s="258">
        <f t="shared" ca="1" si="6"/>
        <v>1339.606247434848</v>
      </c>
      <c r="M18" s="258">
        <f t="shared" ca="1" si="6"/>
        <v>1233.6497675777853</v>
      </c>
      <c r="N18" s="258">
        <f t="shared" ca="1" si="6"/>
        <v>1146.5217528833566</v>
      </c>
      <c r="O18" s="258">
        <f t="shared" ca="1" si="6"/>
        <v>1066.445158231591</v>
      </c>
      <c r="P18" s="258">
        <f t="shared" ca="1" si="6"/>
        <v>992.8124651546425</v>
      </c>
      <c r="Q18" s="258">
        <f t="shared" ca="1" si="6"/>
        <v>852.84025549256751</v>
      </c>
      <c r="R18" s="258">
        <f t="shared" ca="1" si="6"/>
        <v>796.9565688119975</v>
      </c>
      <c r="S18" s="258">
        <f t="shared" ca="1" si="6"/>
        <v>745.41722586806191</v>
      </c>
      <c r="T18" s="258">
        <f t="shared" ca="1" si="6"/>
        <v>697.85432500502543</v>
      </c>
      <c r="U18" s="258">
        <f t="shared" ca="1" si="6"/>
        <v>653.93224507687842</v>
      </c>
      <c r="V18" s="258">
        <f t="shared" ca="1" si="6"/>
        <v>613.3447746048937</v>
      </c>
      <c r="W18" s="258">
        <f t="shared" ca="1" si="6"/>
        <v>575.8124975219597</v>
      </c>
      <c r="X18" s="258">
        <f t="shared" ca="1" si="6"/>
        <v>541.08041252939256</v>
      </c>
      <c r="Y18" s="258">
        <f t="shared" ca="1" si="6"/>
        <v>508.91576515033694</v>
      </c>
      <c r="Z18" s="258">
        <f t="shared" ca="1" si="6"/>
        <v>479.10607343781544</v>
      </c>
      <c r="AA18" s="258">
        <f t="shared" ca="1" si="6"/>
        <v>451.45733000150005</v>
      </c>
      <c r="AB18" s="258">
        <f t="shared" ca="1" si="6"/>
        <v>425.79236457040076</v>
      </c>
      <c r="AC18" s="259">
        <f t="shared" ca="1" si="6"/>
        <v>401.94935272260778</v>
      </c>
    </row>
    <row r="19" spans="2:29" ht="15.75" thickBot="1" x14ac:dyDescent="0.3"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2:29" x14ac:dyDescent="0.25">
      <c r="B20" s="198" t="s">
        <v>90</v>
      </c>
      <c r="C20" s="143" t="s">
        <v>91</v>
      </c>
      <c r="D20" s="143"/>
      <c r="E20" s="266">
        <f>'[2]PRE-GST Levellized Tariff'!$E$20</f>
        <v>4351.25</v>
      </c>
      <c r="F20" s="266">
        <f>E20</f>
        <v>4351.25</v>
      </c>
      <c r="G20" s="266">
        <f t="shared" ref="G20:AC20" si="7">F20</f>
        <v>4351.25</v>
      </c>
      <c r="H20" s="266">
        <f t="shared" si="7"/>
        <v>4351.25</v>
      </c>
      <c r="I20" s="266">
        <f t="shared" si="7"/>
        <v>4351.25</v>
      </c>
      <c r="J20" s="266">
        <f t="shared" si="7"/>
        <v>4351.25</v>
      </c>
      <c r="K20" s="266">
        <f t="shared" si="7"/>
        <v>4351.25</v>
      </c>
      <c r="L20" s="266">
        <f t="shared" si="7"/>
        <v>4351.25</v>
      </c>
      <c r="M20" s="266">
        <f t="shared" si="7"/>
        <v>4351.25</v>
      </c>
      <c r="N20" s="266">
        <f t="shared" si="7"/>
        <v>4351.25</v>
      </c>
      <c r="O20" s="266">
        <f t="shared" si="7"/>
        <v>4351.25</v>
      </c>
      <c r="P20" s="266">
        <f t="shared" si="7"/>
        <v>4351.25</v>
      </c>
      <c r="Q20" s="266">
        <f t="shared" si="7"/>
        <v>4351.25</v>
      </c>
      <c r="R20" s="266">
        <f t="shared" si="7"/>
        <v>4351.25</v>
      </c>
      <c r="S20" s="266">
        <f t="shared" si="7"/>
        <v>4351.25</v>
      </c>
      <c r="T20" s="266">
        <f t="shared" si="7"/>
        <v>4351.25</v>
      </c>
      <c r="U20" s="266">
        <f t="shared" si="7"/>
        <v>4351.25</v>
      </c>
      <c r="V20" s="266">
        <f t="shared" si="7"/>
        <v>4351.25</v>
      </c>
      <c r="W20" s="266">
        <f t="shared" si="7"/>
        <v>4351.25</v>
      </c>
      <c r="X20" s="266">
        <f t="shared" si="7"/>
        <v>4351.25</v>
      </c>
      <c r="Y20" s="266">
        <f t="shared" si="7"/>
        <v>4351.25</v>
      </c>
      <c r="Z20" s="266">
        <f t="shared" si="7"/>
        <v>4351.25</v>
      </c>
      <c r="AA20" s="266">
        <f t="shared" si="7"/>
        <v>4351.25</v>
      </c>
      <c r="AB20" s="266">
        <f t="shared" si="7"/>
        <v>4351.25</v>
      </c>
      <c r="AC20" s="15">
        <f t="shared" si="7"/>
        <v>4351.25</v>
      </c>
    </row>
    <row r="21" spans="2:29" x14ac:dyDescent="0.25">
      <c r="B21" s="66" t="s">
        <v>100</v>
      </c>
      <c r="C21" s="10" t="s">
        <v>106</v>
      </c>
      <c r="D21" s="63">
        <f>AVERAGE(E21:AC21)</f>
        <v>0.1440370529042464</v>
      </c>
      <c r="E21" s="63">
        <f>E14/(E$20*10)</f>
        <v>0.20775639184142489</v>
      </c>
      <c r="F21" s="63">
        <f t="shared" ref="F21:AC25" si="8">F14/(F$20*10)</f>
        <v>0.20106084287524373</v>
      </c>
      <c r="G21" s="63">
        <f t="shared" si="8"/>
        <v>0.19456316822825523</v>
      </c>
      <c r="H21" s="63">
        <f t="shared" si="8"/>
        <v>0.18827378612056705</v>
      </c>
      <c r="I21" s="63">
        <f t="shared" si="8"/>
        <v>0.18218771241732515</v>
      </c>
      <c r="J21" s="63">
        <f t="shared" si="8"/>
        <v>0.17629837504092152</v>
      </c>
      <c r="K21" s="63">
        <f t="shared" si="8"/>
        <v>0.1705994143604701</v>
      </c>
      <c r="L21" s="63">
        <f t="shared" si="8"/>
        <v>0.16508467632432725</v>
      </c>
      <c r="M21" s="63">
        <f t="shared" si="8"/>
        <v>0.15974820581460752</v>
      </c>
      <c r="N21" s="63">
        <f t="shared" si="8"/>
        <v>0.15458424021651967</v>
      </c>
      <c r="O21" s="63">
        <f t="shared" si="8"/>
        <v>0.14958720319557769</v>
      </c>
      <c r="P21" s="63">
        <f t="shared" si="8"/>
        <v>0.1447516986759676</v>
      </c>
      <c r="Q21" s="63">
        <f t="shared" si="8"/>
        <v>0.14007250501356766</v>
      </c>
      <c r="R21" s="63">
        <f t="shared" si="8"/>
        <v>0.13554456935732936</v>
      </c>
      <c r="S21" s="63">
        <f t="shared" si="8"/>
        <v>0.13116300219293073</v>
      </c>
      <c r="T21" s="63">
        <f t="shared" si="8"/>
        <v>0.12692307206280917</v>
      </c>
      <c r="U21" s="63">
        <f t="shared" si="8"/>
        <v>0.12282020045687321</v>
      </c>
      <c r="V21" s="63">
        <f t="shared" si="8"/>
        <v>0.11884995686837496</v>
      </c>
      <c r="W21" s="63">
        <f t="shared" si="8"/>
        <v>0.11500805400960498</v>
      </c>
      <c r="X21" s="63">
        <f t="shared" si="8"/>
        <v>0.11129034318224293</v>
      </c>
      <c r="Y21" s="63">
        <f t="shared" si="8"/>
        <v>0.10769280979736444</v>
      </c>
      <c r="Z21" s="63">
        <f t="shared" si="8"/>
        <v>0.10421156904026697</v>
      </c>
      <c r="AA21" s="63">
        <f t="shared" si="8"/>
        <v>0.1008428616754329</v>
      </c>
      <c r="AB21" s="63">
        <f t="shared" si="8"/>
        <v>9.7583049987100018E-2</v>
      </c>
      <c r="AC21" s="67">
        <f t="shared" si="8"/>
        <v>9.4428613851055526E-2</v>
      </c>
    </row>
    <row r="22" spans="2:29" x14ac:dyDescent="0.25">
      <c r="B22" s="66" t="s">
        <v>104</v>
      </c>
      <c r="C22" s="10" t="s">
        <v>106</v>
      </c>
      <c r="D22" s="63">
        <f t="shared" ref="D22:D25" si="9">AVERAGE(E22:AC22)</f>
        <v>0.1735947120341256</v>
      </c>
      <c r="E22" s="63">
        <f t="shared" ref="E22:T24" si="10">E15/(E$20*10)</f>
        <v>0.43009735133557886</v>
      </c>
      <c r="F22" s="63">
        <f t="shared" si="10"/>
        <v>0.39154791485329565</v>
      </c>
      <c r="G22" s="63">
        <f t="shared" si="10"/>
        <v>0.35645364741236307</v>
      </c>
      <c r="H22" s="63">
        <f t="shared" si="10"/>
        <v>0.32450486373087578</v>
      </c>
      <c r="I22" s="63">
        <f t="shared" si="10"/>
        <v>0.29541963548257394</v>
      </c>
      <c r="J22" s="63">
        <f t="shared" si="10"/>
        <v>0.26894130345311407</v>
      </c>
      <c r="K22" s="63">
        <f t="shared" si="10"/>
        <v>0.24483621268067843</v>
      </c>
      <c r="L22" s="63">
        <f t="shared" si="10"/>
        <v>0.22289165059493693</v>
      </c>
      <c r="M22" s="63">
        <f t="shared" si="10"/>
        <v>0.20291396995970629</v>
      </c>
      <c r="N22" s="63">
        <f t="shared" si="10"/>
        <v>0.18472688005543386</v>
      </c>
      <c r="O22" s="63">
        <f t="shared" si="10"/>
        <v>0.16816989102224378</v>
      </c>
      <c r="P22" s="63">
        <f t="shared" si="10"/>
        <v>0.15309689763583184</v>
      </c>
      <c r="Q22" s="63">
        <f t="shared" si="10"/>
        <v>0.13937489001890443</v>
      </c>
      <c r="R22" s="63">
        <f t="shared" si="10"/>
        <v>0.12688277991098407</v>
      </c>
      <c r="S22" s="63">
        <f t="shared" si="10"/>
        <v>0.11551033213913613</v>
      </c>
      <c r="T22" s="63">
        <f t="shared" si="10"/>
        <v>0.10515719186050475</v>
      </c>
      <c r="U22" s="63">
        <f t="shared" si="8"/>
        <v>9.5731998992672152E-2</v>
      </c>
      <c r="V22" s="63">
        <f t="shared" si="8"/>
        <v>8.7151582017235801E-2</v>
      </c>
      <c r="W22" s="63">
        <f t="shared" si="8"/>
        <v>7.9340224042416266E-2</v>
      </c>
      <c r="X22" s="63">
        <f t="shared" si="8"/>
        <v>7.2228994648150913E-2</v>
      </c>
      <c r="Y22" s="63">
        <f t="shared" si="8"/>
        <v>6.575514161761789E-2</v>
      </c>
      <c r="Z22" s="63">
        <f t="shared" si="8"/>
        <v>5.9861537187596355E-2</v>
      </c>
      <c r="AA22" s="63">
        <f t="shared" si="8"/>
        <v>5.4496173931163329E-2</v>
      </c>
      <c r="AB22" s="63">
        <f t="shared" si="8"/>
        <v>4.9611705824202788E-2</v>
      </c>
      <c r="AC22" s="67">
        <f t="shared" si="8"/>
        <v>4.5165030445921711E-2</v>
      </c>
    </row>
    <row r="23" spans="2:29" x14ac:dyDescent="0.25">
      <c r="B23" s="66" t="s">
        <v>101</v>
      </c>
      <c r="C23" s="10" t="s">
        <v>106</v>
      </c>
      <c r="D23" s="63">
        <f t="shared" si="9"/>
        <v>0.13108690763856096</v>
      </c>
      <c r="E23" s="63">
        <f t="shared" si="10"/>
        <v>0.38414097762569666</v>
      </c>
      <c r="F23" s="63">
        <f t="shared" si="8"/>
        <v>0.34971059071157257</v>
      </c>
      <c r="G23" s="63">
        <f t="shared" si="8"/>
        <v>0.31836618423719043</v>
      </c>
      <c r="H23" s="63">
        <f t="shared" si="8"/>
        <v>0.28983116313267154</v>
      </c>
      <c r="I23" s="63">
        <f t="shared" si="8"/>
        <v>0.26385372342262853</v>
      </c>
      <c r="J23" s="63">
        <f t="shared" si="8"/>
        <v>0.24020463021126767</v>
      </c>
      <c r="K23" s="63">
        <f t="shared" si="8"/>
        <v>0.21867519482570827</v>
      </c>
      <c r="L23" s="63">
        <f t="shared" si="8"/>
        <v>0.19907543326705759</v>
      </c>
      <c r="M23" s="63">
        <f t="shared" si="8"/>
        <v>0.18123238971870595</v>
      </c>
      <c r="N23" s="63">
        <f t="shared" si="8"/>
        <v>0.1649886103178359</v>
      </c>
      <c r="O23" s="63">
        <f t="shared" si="8"/>
        <v>0.15020075372212044</v>
      </c>
      <c r="P23" s="63">
        <f t="shared" si="8"/>
        <v>0.13673832621071677</v>
      </c>
      <c r="Q23" s="63">
        <f t="shared" si="8"/>
        <v>4.8331285383159846E-2</v>
      </c>
      <c r="R23" s="63">
        <f t="shared" si="8"/>
        <v>4.399937352599631E-2</v>
      </c>
      <c r="S23" s="63">
        <f t="shared" si="8"/>
        <v>4.0055729023807211E-2</v>
      </c>
      <c r="T23" s="63">
        <f t="shared" si="8"/>
        <v>3.6465551644291071E-2</v>
      </c>
      <c r="U23" s="63">
        <f t="shared" si="8"/>
        <v>3.3197160284665579E-2</v>
      </c>
      <c r="V23" s="63">
        <f t="shared" si="8"/>
        <v>3.0221713405460343E-2</v>
      </c>
      <c r="W23" s="63">
        <f t="shared" si="8"/>
        <v>2.7512954521705768E-2</v>
      </c>
      <c r="X23" s="63">
        <f t="shared" si="8"/>
        <v>2.5046980505634892E-2</v>
      </c>
      <c r="Y23" s="63">
        <f t="shared" si="8"/>
        <v>2.2802030656312061E-2</v>
      </c>
      <c r="Z23" s="63">
        <f t="shared" si="8"/>
        <v>2.0758294674858083E-2</v>
      </c>
      <c r="AA23" s="63">
        <f t="shared" si="8"/>
        <v>1.8897737850771538E-2</v>
      </c>
      <c r="AB23" s="63">
        <f t="shared" si="8"/>
        <v>1.7203941916723219E-2</v>
      </c>
      <c r="AC23" s="67">
        <f t="shared" si="8"/>
        <v>1.566196016746535E-2</v>
      </c>
    </row>
    <row r="24" spans="2:29" x14ac:dyDescent="0.25">
      <c r="B24" s="66" t="s">
        <v>102</v>
      </c>
      <c r="C24" s="10" t="s">
        <v>106</v>
      </c>
      <c r="D24" s="63">
        <f t="shared" si="9"/>
        <v>7.5662588390604565E-2</v>
      </c>
      <c r="E24" s="63">
        <f t="shared" si="10"/>
        <v>0.6111333734954264</v>
      </c>
      <c r="F24" s="63">
        <f t="shared" si="8"/>
        <v>0.44762955611081284</v>
      </c>
      <c r="G24" s="63">
        <f t="shared" si="8"/>
        <v>0.32040372781630849</v>
      </c>
      <c r="H24" s="63">
        <f t="shared" si="8"/>
        <v>0.2219040130915936</v>
      </c>
      <c r="I24" s="63">
        <f t="shared" si="8"/>
        <v>0.1461106246842169</v>
      </c>
      <c r="J24" s="63">
        <f t="shared" si="8"/>
        <v>8.8228462777858105E-2</v>
      </c>
      <c r="K24" s="63">
        <f t="shared" si="8"/>
        <v>4.4441090940416351E-2</v>
      </c>
      <c r="L24" s="63">
        <f t="shared" si="8"/>
        <v>1.1713860848481238E-2</v>
      </c>
      <c r="M24" s="63">
        <f t="shared" si="8"/>
        <v>0</v>
      </c>
      <c r="N24" s="63">
        <f t="shared" si="8"/>
        <v>0</v>
      </c>
      <c r="O24" s="63">
        <f t="shared" si="8"/>
        <v>0</v>
      </c>
      <c r="P24" s="63">
        <f t="shared" si="8"/>
        <v>0</v>
      </c>
      <c r="Q24" s="63">
        <f t="shared" si="8"/>
        <v>0</v>
      </c>
      <c r="R24" s="63">
        <f t="shared" si="8"/>
        <v>0</v>
      </c>
      <c r="S24" s="63">
        <f t="shared" si="8"/>
        <v>0</v>
      </c>
      <c r="T24" s="63">
        <f t="shared" si="8"/>
        <v>0</v>
      </c>
      <c r="U24" s="63">
        <f t="shared" si="8"/>
        <v>0</v>
      </c>
      <c r="V24" s="63">
        <f t="shared" si="8"/>
        <v>0</v>
      </c>
      <c r="W24" s="63">
        <f t="shared" si="8"/>
        <v>0</v>
      </c>
      <c r="X24" s="63">
        <f t="shared" si="8"/>
        <v>0</v>
      </c>
      <c r="Y24" s="63">
        <f t="shared" si="8"/>
        <v>0</v>
      </c>
      <c r="Z24" s="63">
        <f t="shared" si="8"/>
        <v>0</v>
      </c>
      <c r="AA24" s="63">
        <f t="shared" si="8"/>
        <v>0</v>
      </c>
      <c r="AB24" s="63">
        <f t="shared" si="8"/>
        <v>0</v>
      </c>
      <c r="AC24" s="67">
        <f t="shared" si="8"/>
        <v>0</v>
      </c>
    </row>
    <row r="25" spans="2:29" ht="15.75" thickBot="1" x14ac:dyDescent="0.3">
      <c r="B25" s="196" t="s">
        <v>103</v>
      </c>
      <c r="C25" s="153" t="s">
        <v>106</v>
      </c>
      <c r="D25" s="241">
        <f t="shared" ca="1" si="9"/>
        <v>2.5815941990932529E-2</v>
      </c>
      <c r="E25" s="119">
        <f ca="1">E18/(E$20*10)</f>
        <v>6.5714869109131394E-2</v>
      </c>
      <c r="F25" s="119">
        <f t="shared" ca="1" si="8"/>
        <v>5.8156663362789136E-2</v>
      </c>
      <c r="G25" s="119">
        <f t="shared" ca="1" si="8"/>
        <v>5.1723572631517778E-2</v>
      </c>
      <c r="H25" s="119">
        <f t="shared" ca="1" si="8"/>
        <v>4.6222670941050453E-2</v>
      </c>
      <c r="I25" s="119">
        <f t="shared" ca="1" si="8"/>
        <v>4.1496114963047045E-2</v>
      </c>
      <c r="J25" s="119">
        <f t="shared" ca="1" si="8"/>
        <v>3.741502390238257E-2</v>
      </c>
      <c r="K25" s="119">
        <f t="shared" ca="1" si="8"/>
        <v>3.3874011029402587E-2</v>
      </c>
      <c r="L25" s="119">
        <f t="shared" ca="1" si="8"/>
        <v>3.0786699165408743E-2</v>
      </c>
      <c r="M25" s="119">
        <f t="shared" ca="1" si="8"/>
        <v>2.8351617755306757E-2</v>
      </c>
      <c r="N25" s="119">
        <f t="shared" ca="1" si="8"/>
        <v>2.6349250281720346E-2</v>
      </c>
      <c r="O25" s="119">
        <f t="shared" ca="1" si="8"/>
        <v>2.4508937850769113E-2</v>
      </c>
      <c r="P25" s="119">
        <f t="shared" ca="1" si="8"/>
        <v>2.2816718532712266E-2</v>
      </c>
      <c r="Q25" s="119">
        <f t="shared" ca="1" si="8"/>
        <v>1.9599890962196324E-2</v>
      </c>
      <c r="R25" s="119">
        <f t="shared" ca="1" si="8"/>
        <v>1.8315577565343234E-2</v>
      </c>
      <c r="S25" s="119">
        <f t="shared" ca="1" si="8"/>
        <v>1.7131105449424002E-2</v>
      </c>
      <c r="T25" s="119">
        <f t="shared" ca="1" si="8"/>
        <v>1.6038019534731985E-2</v>
      </c>
      <c r="U25" s="119">
        <f t="shared" ca="1" si="8"/>
        <v>1.5028606609063567E-2</v>
      </c>
      <c r="V25" s="119">
        <f t="shared" ca="1" si="8"/>
        <v>1.4095829350299195E-2</v>
      </c>
      <c r="W25" s="119">
        <f t="shared" ca="1" si="8"/>
        <v>1.3233266245836477E-2</v>
      </c>
      <c r="X25" s="119">
        <f t="shared" ca="1" si="8"/>
        <v>1.2435056880882334E-2</v>
      </c>
      <c r="Y25" s="119">
        <f t="shared" ca="1" si="8"/>
        <v>1.1695852114917252E-2</v>
      </c>
      <c r="Z25" s="119">
        <f t="shared" ca="1" si="8"/>
        <v>1.1010768708711644E-2</v>
      </c>
      <c r="AA25" s="119">
        <f t="shared" ca="1" si="8"/>
        <v>1.037534800348176E-2</v>
      </c>
      <c r="AB25" s="119">
        <f t="shared" ca="1" si="8"/>
        <v>9.7855182894662635E-3</v>
      </c>
      <c r="AC25" s="120">
        <f t="shared" ca="1" si="8"/>
        <v>9.2375605336996909E-3</v>
      </c>
    </row>
    <row r="26" spans="2:29" s="2" customFormat="1" x14ac:dyDescent="0.25">
      <c r="B26" s="267" t="s">
        <v>105</v>
      </c>
      <c r="C26" s="268" t="s">
        <v>106</v>
      </c>
      <c r="D26" s="269">
        <f ca="1">SUM(D21:D25)</f>
        <v>0.55019720295846997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2:29" ht="15.75" thickBot="1" x14ac:dyDescent="0.3">
      <c r="B27" s="270" t="s">
        <v>108</v>
      </c>
      <c r="C27" s="271" t="s">
        <v>106</v>
      </c>
      <c r="D27" s="272">
        <f>'C_DI - Energy Charges'!E12</f>
        <v>0.02</v>
      </c>
      <c r="E27" s="107"/>
    </row>
    <row r="28" spans="2:29" ht="16.5" thickBot="1" x14ac:dyDescent="0.3">
      <c r="B28" s="273" t="s">
        <v>383</v>
      </c>
      <c r="C28" s="274" t="s">
        <v>106</v>
      </c>
      <c r="D28" s="275">
        <f ca="1">ROUNDDOWN(SUM(D26:D27),2)</f>
        <v>0.56999999999999995</v>
      </c>
    </row>
    <row r="29" spans="2:29" x14ac:dyDescent="0.25">
      <c r="D29" s="10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DAD7-F8B3-41DE-A5BA-AEBECBDDC1B2}">
  <sheetPr>
    <tabColor rgb="FFFF0000"/>
  </sheetPr>
  <dimension ref="B1:AC29"/>
  <sheetViews>
    <sheetView tabSelected="1" topLeftCell="A13" workbookViewId="0">
      <selection activeCell="B28" sqref="B28"/>
    </sheetView>
  </sheetViews>
  <sheetFormatPr defaultRowHeight="15" x14ac:dyDescent="0.25"/>
  <cols>
    <col min="2" max="2" width="20.5703125" bestFit="1" customWidth="1"/>
    <col min="3" max="3" width="9.5703125" bestFit="1" customWidth="1"/>
    <col min="4" max="4" width="9.28515625" bestFit="1" customWidth="1"/>
    <col min="5" max="29" width="10.28515625" bestFit="1" customWidth="1"/>
  </cols>
  <sheetData>
    <row r="1" spans="2:29" x14ac:dyDescent="0.25">
      <c r="B1" s="35" t="s">
        <v>52</v>
      </c>
    </row>
    <row r="2" spans="2:29" ht="15.75" thickBot="1" x14ac:dyDescent="0.3"/>
    <row r="3" spans="2:29" s="2" customFormat="1" ht="15.75" thickBot="1" x14ac:dyDescent="0.3">
      <c r="B3" s="79"/>
      <c r="C3" s="262" t="s">
        <v>1</v>
      </c>
      <c r="D3" s="262" t="s">
        <v>107</v>
      </c>
      <c r="E3" s="82">
        <v>1</v>
      </c>
      <c r="F3" s="82">
        <v>2</v>
      </c>
      <c r="G3" s="82">
        <v>3</v>
      </c>
      <c r="H3" s="82">
        <v>4</v>
      </c>
      <c r="I3" s="82">
        <v>5</v>
      </c>
      <c r="J3" s="82">
        <v>6</v>
      </c>
      <c r="K3" s="82">
        <v>7</v>
      </c>
      <c r="L3" s="82">
        <v>8</v>
      </c>
      <c r="M3" s="82">
        <v>9</v>
      </c>
      <c r="N3" s="82">
        <v>10</v>
      </c>
      <c r="O3" s="82">
        <v>11</v>
      </c>
      <c r="P3" s="82">
        <v>12</v>
      </c>
      <c r="Q3" s="82">
        <v>13</v>
      </c>
      <c r="R3" s="82">
        <v>14</v>
      </c>
      <c r="S3" s="82">
        <v>15</v>
      </c>
      <c r="T3" s="82">
        <v>16</v>
      </c>
      <c r="U3" s="82">
        <v>17</v>
      </c>
      <c r="V3" s="82">
        <v>18</v>
      </c>
      <c r="W3" s="82">
        <v>19</v>
      </c>
      <c r="X3" s="82">
        <v>20</v>
      </c>
      <c r="Y3" s="82">
        <v>21</v>
      </c>
      <c r="Z3" s="82">
        <v>22</v>
      </c>
      <c r="AA3" s="82">
        <v>23</v>
      </c>
      <c r="AB3" s="82">
        <v>24</v>
      </c>
      <c r="AC3" s="83">
        <v>25</v>
      </c>
    </row>
    <row r="4" spans="2:29" x14ac:dyDescent="0.25">
      <c r="B4" s="74" t="s">
        <v>54</v>
      </c>
      <c r="C4" s="112" t="s">
        <v>0</v>
      </c>
      <c r="D4" s="112"/>
      <c r="E4" s="260">
        <f>'C - O&amp;M'!D24</f>
        <v>9040</v>
      </c>
      <c r="F4" s="260">
        <f>'C - O&amp;M'!E24</f>
        <v>9610</v>
      </c>
      <c r="G4" s="260">
        <f>'C - O&amp;M'!F24</f>
        <v>10215</v>
      </c>
      <c r="H4" s="260">
        <f>'C - O&amp;M'!G24</f>
        <v>10857.990318640521</v>
      </c>
      <c r="I4" s="260">
        <f>'C - O&amp;M'!H24</f>
        <v>11541.454112549318</v>
      </c>
      <c r="J4" s="260">
        <f>'C - O&amp;M'!I24</f>
        <v>12267.939012931407</v>
      </c>
      <c r="K4" s="260">
        <f>'C - O&amp;M'!J24</f>
        <v>13040.153013419635</v>
      </c>
      <c r="L4" s="260">
        <f>'C - O&amp;M'!K24</f>
        <v>13860.974564199845</v>
      </c>
      <c r="M4" s="260">
        <f>'C - O&amp;M'!L24</f>
        <v>14733.463301517811</v>
      </c>
      <c r="N4" s="260">
        <f>'C - O&amp;M'!M24</f>
        <v>15660.871452562487</v>
      </c>
      <c r="O4" s="260">
        <f>'C - O&amp;M'!N24</f>
        <v>16646.65595823761</v>
      </c>
      <c r="P4" s="260">
        <f>'C - O&amp;M'!O24</f>
        <v>17694.491359009644</v>
      </c>
      <c r="Q4" s="260">
        <f>'C - O&amp;M'!P24</f>
        <v>18808.283491864422</v>
      </c>
      <c r="R4" s="260">
        <f>'C - O&amp;M'!Q24</f>
        <v>19992.184049428313</v>
      </c>
      <c r="S4" s="260">
        <f>'C - O&amp;M'!R24</f>
        <v>21250.606055523454</v>
      </c>
      <c r="T4" s="260">
        <f>'C - O&amp;M'!S24</f>
        <v>22588.240314842613</v>
      </c>
      <c r="U4" s="260">
        <f>'C - O&amp;M'!T24</f>
        <v>24010.072898060364</v>
      </c>
      <c r="V4" s="260">
        <f>'C - O&amp;M'!U24</f>
        <v>25521.403727556786</v>
      </c>
      <c r="W4" s="260">
        <f>'C - O&amp;M'!V24</f>
        <v>27127.866333032569</v>
      </c>
      <c r="X4" s="260">
        <f>'C - O&amp;M'!W24</f>
        <v>28835.448850655092</v>
      </c>
      <c r="Y4" s="260">
        <f>'C - O&amp;M'!X24</f>
        <v>30650.516344010466</v>
      </c>
      <c r="Z4" s="260">
        <f>'C - O&amp;M'!Y24</f>
        <v>32579.834530063505</v>
      </c>
      <c r="AA4" s="260">
        <f>'C - O&amp;M'!Z24</f>
        <v>34630.594998564826</v>
      </c>
      <c r="AB4" s="260">
        <f>'C - O&amp;M'!AA24</f>
        <v>36810.442018911184</v>
      </c>
      <c r="AC4" s="261">
        <f>'C - O&amp;M'!AB24</f>
        <v>39127.501034382367</v>
      </c>
    </row>
    <row r="5" spans="2:29" x14ac:dyDescent="0.25">
      <c r="B5" s="66" t="s">
        <v>80</v>
      </c>
      <c r="C5" s="10" t="s">
        <v>0</v>
      </c>
      <c r="D5" s="10"/>
      <c r="E5" s="108">
        <f>'C - RoE'!D35</f>
        <v>18714.610999989374</v>
      </c>
      <c r="F5" s="108">
        <f>'C - RoE'!E35</f>
        <v>18714.610999989374</v>
      </c>
      <c r="G5" s="108">
        <f>'C - RoE'!F35</f>
        <v>18714.610999989374</v>
      </c>
      <c r="H5" s="108">
        <f>'C - RoE'!G35</f>
        <v>18714.610999989374</v>
      </c>
      <c r="I5" s="108">
        <f>'C - RoE'!H35</f>
        <v>18714.610999989374</v>
      </c>
      <c r="J5" s="108">
        <f>'C - RoE'!I35</f>
        <v>18714.610999989374</v>
      </c>
      <c r="K5" s="108">
        <f>'C - RoE'!J35</f>
        <v>18714.610999989374</v>
      </c>
      <c r="L5" s="108">
        <f>'C - RoE'!K35</f>
        <v>18714.610999989374</v>
      </c>
      <c r="M5" s="108">
        <f>'C - RoE'!L35</f>
        <v>18714.610999989374</v>
      </c>
      <c r="N5" s="108">
        <f>'C - RoE'!M35</f>
        <v>18714.610999989374</v>
      </c>
      <c r="O5" s="108">
        <f>'C - RoE'!N35</f>
        <v>18714.610999989374</v>
      </c>
      <c r="P5" s="108">
        <f>'C - RoE'!O35</f>
        <v>18714.610999989374</v>
      </c>
      <c r="Q5" s="108">
        <f>'C - RoE'!P35</f>
        <v>18714.610999989374</v>
      </c>
      <c r="R5" s="108">
        <f>'C - RoE'!Q35</f>
        <v>18714.610999989374</v>
      </c>
      <c r="S5" s="108">
        <f>'C - RoE'!R35</f>
        <v>18714.610999989374</v>
      </c>
      <c r="T5" s="108">
        <f>'C - RoE'!S35</f>
        <v>18714.610999989374</v>
      </c>
      <c r="U5" s="108">
        <f>'C - RoE'!T35</f>
        <v>18714.610999989374</v>
      </c>
      <c r="V5" s="108">
        <f>'C - RoE'!U35</f>
        <v>18714.610999989374</v>
      </c>
      <c r="W5" s="108">
        <f>'C - RoE'!V35</f>
        <v>18714.610999989374</v>
      </c>
      <c r="X5" s="108">
        <f>'C - RoE'!W35</f>
        <v>18714.610999989374</v>
      </c>
      <c r="Y5" s="108">
        <f>'C - RoE'!X35</f>
        <v>18714.610999989374</v>
      </c>
      <c r="Z5" s="108">
        <f>'C - RoE'!Y35</f>
        <v>18714.610999989374</v>
      </c>
      <c r="AA5" s="108">
        <f>'C - RoE'!Z35</f>
        <v>18714.610999989374</v>
      </c>
      <c r="AB5" s="108">
        <f>'C - RoE'!AA35</f>
        <v>18714.610999989374</v>
      </c>
      <c r="AC5" s="19">
        <f>'C - RoE'!AB35</f>
        <v>18714.610999989374</v>
      </c>
    </row>
    <row r="6" spans="2:29" x14ac:dyDescent="0.25">
      <c r="B6" s="66" t="s">
        <v>75</v>
      </c>
      <c r="C6" s="10" t="s">
        <v>0</v>
      </c>
      <c r="D6" s="10"/>
      <c r="E6" s="108">
        <f>'C - Depreciation'!D27</f>
        <v>16714.934288938126</v>
      </c>
      <c r="F6" s="108">
        <f>'C - Depreciation'!E27</f>
        <v>16714.934288938126</v>
      </c>
      <c r="G6" s="108">
        <f>'C - Depreciation'!F27</f>
        <v>16714.934288938126</v>
      </c>
      <c r="H6" s="108">
        <f>'C - Depreciation'!G27</f>
        <v>16714.934288938126</v>
      </c>
      <c r="I6" s="108">
        <f>'C - Depreciation'!H27</f>
        <v>16714.934288938126</v>
      </c>
      <c r="J6" s="108">
        <f>'C - Depreciation'!I27</f>
        <v>16714.934288938126</v>
      </c>
      <c r="K6" s="108">
        <f>'C - Depreciation'!J27</f>
        <v>16714.934288938126</v>
      </c>
      <c r="L6" s="108">
        <f>'C - Depreciation'!K27</f>
        <v>16714.934288938126</v>
      </c>
      <c r="M6" s="108">
        <f>'C - Depreciation'!L27</f>
        <v>16714.934288938126</v>
      </c>
      <c r="N6" s="108">
        <f>'C - Depreciation'!M27</f>
        <v>16714.934288938126</v>
      </c>
      <c r="O6" s="108">
        <f>'C - Depreciation'!N27</f>
        <v>16714.934288938126</v>
      </c>
      <c r="P6" s="108">
        <f>'C - Depreciation'!O27</f>
        <v>16714.934288938126</v>
      </c>
      <c r="Q6" s="108">
        <f>'C - Depreciation'!P27</f>
        <v>6489.6998659702958</v>
      </c>
      <c r="R6" s="108">
        <f>'C - Depreciation'!Q27</f>
        <v>6489.6998659702958</v>
      </c>
      <c r="S6" s="108">
        <f>'C - Depreciation'!R27</f>
        <v>6489.6998659702958</v>
      </c>
      <c r="T6" s="108">
        <f>'C - Depreciation'!S27</f>
        <v>6489.6998659702958</v>
      </c>
      <c r="U6" s="108">
        <f>'C - Depreciation'!T27</f>
        <v>6489.6998659702958</v>
      </c>
      <c r="V6" s="108">
        <f>'C - Depreciation'!U27</f>
        <v>6489.6998659702958</v>
      </c>
      <c r="W6" s="108">
        <f>'C - Depreciation'!V27</f>
        <v>6489.6998659702958</v>
      </c>
      <c r="X6" s="108">
        <f>'C - Depreciation'!W27</f>
        <v>6489.6998659702958</v>
      </c>
      <c r="Y6" s="108">
        <f>'C - Depreciation'!X27</f>
        <v>6489.6998659702958</v>
      </c>
      <c r="Z6" s="108">
        <f>'C - Depreciation'!Y27</f>
        <v>6489.6998659702958</v>
      </c>
      <c r="AA6" s="108">
        <f>'C - Depreciation'!Z27</f>
        <v>6489.6998659702958</v>
      </c>
      <c r="AB6" s="108">
        <f>'C - Depreciation'!AA27</f>
        <v>6489.6998659702958</v>
      </c>
      <c r="AC6" s="19">
        <f>'C - Depreciation'!AB27</f>
        <v>6489.6998659702958</v>
      </c>
    </row>
    <row r="7" spans="2:29" x14ac:dyDescent="0.25">
      <c r="B7" s="66" t="s">
        <v>76</v>
      </c>
      <c r="C7" s="10" t="s">
        <v>0</v>
      </c>
      <c r="D7" s="10"/>
      <c r="E7" s="108">
        <f>'C - Interest on Loan'!D34</f>
        <v>26591.940914219744</v>
      </c>
      <c r="F7" s="108">
        <f>'C - Interest on Loan'!E34</f>
        <v>21395.115889840803</v>
      </c>
      <c r="G7" s="108">
        <f>'C - Interest on Loan'!F34</f>
        <v>16821.909868387331</v>
      </c>
      <c r="H7" s="108">
        <f>'C - Interest on Loan'!G34</f>
        <v>12797.488569508278</v>
      </c>
      <c r="I7" s="108">
        <f>'C - Interest on Loan'!H34</f>
        <v>9255.9978264947113</v>
      </c>
      <c r="J7" s="108">
        <f>'C - Interest on Loan'!I34</f>
        <v>6139.4859726427703</v>
      </c>
      <c r="K7" s="108">
        <f>'C - Interest on Loan'!J34</f>
        <v>3396.9555412530631</v>
      </c>
      <c r="L7" s="108">
        <f>'C - Interest on Loan'!K34</f>
        <v>983.52876163012058</v>
      </c>
      <c r="M7" s="108">
        <f>'C - Interest on Loan'!L34</f>
        <v>0</v>
      </c>
      <c r="N7" s="108">
        <f>'C - Interest on Loan'!M34</f>
        <v>0</v>
      </c>
      <c r="O7" s="108">
        <f>'C - Interest on Loan'!N34</f>
        <v>0</v>
      </c>
      <c r="P7" s="108">
        <f>'C - Interest on Loan'!O34</f>
        <v>0</v>
      </c>
      <c r="Q7" s="108">
        <f>'C - Interest on Loan'!P34</f>
        <v>0</v>
      </c>
      <c r="R7" s="108">
        <f>'C - Interest on Loan'!Q34</f>
        <v>0</v>
      </c>
      <c r="S7" s="108">
        <f>'C - Interest on Loan'!R34</f>
        <v>0</v>
      </c>
      <c r="T7" s="108">
        <f>'C - Interest on Loan'!S34</f>
        <v>0</v>
      </c>
      <c r="U7" s="108">
        <f>'C - Interest on Loan'!T34</f>
        <v>0</v>
      </c>
      <c r="V7" s="108">
        <f>'C - Interest on Loan'!U34</f>
        <v>0</v>
      </c>
      <c r="W7" s="108">
        <f>'C - Interest on Loan'!V34</f>
        <v>0</v>
      </c>
      <c r="X7" s="108">
        <f>'C - Interest on Loan'!W34</f>
        <v>0</v>
      </c>
      <c r="Y7" s="108">
        <f>'C - Interest on Loan'!X34</f>
        <v>0</v>
      </c>
      <c r="Z7" s="108">
        <f>'C - Interest on Loan'!Y34</f>
        <v>0</v>
      </c>
      <c r="AA7" s="108">
        <f>'C - Interest on Loan'!Z34</f>
        <v>0</v>
      </c>
      <c r="AB7" s="108">
        <f>'C - Interest on Loan'!AA34</f>
        <v>0</v>
      </c>
      <c r="AC7" s="19">
        <f>'C - Interest on Loan'!AB34</f>
        <v>0</v>
      </c>
    </row>
    <row r="8" spans="2:29" x14ac:dyDescent="0.25">
      <c r="B8" s="66" t="s">
        <v>81</v>
      </c>
      <c r="C8" s="10" t="s">
        <v>0</v>
      </c>
      <c r="D8" s="108"/>
      <c r="E8" s="108">
        <f ca="1">'C - Interest on WC'!D65</f>
        <v>2825.985859120954</v>
      </c>
      <c r="F8" s="108">
        <f ca="1">'C - Interest on WC'!E65</f>
        <v>2746.2512536849008</v>
      </c>
      <c r="G8" s="108">
        <f ca="1">'C - Interest on WC'!F65</f>
        <v>2682.1704684761057</v>
      </c>
      <c r="H8" s="108">
        <f ca="1">'C - Interest on WC'!G65</f>
        <v>2632.2882354831977</v>
      </c>
      <c r="I8" s="108">
        <f ca="1">'C - Interest on WC'!H65</f>
        <v>2595.3151891734469</v>
      </c>
      <c r="J8" s="108">
        <f ca="1">'C - Interest on WC'!I65</f>
        <v>2570.1380202836312</v>
      </c>
      <c r="K8" s="108">
        <f ca="1">'C - Interest on WC'!J65</f>
        <v>2555.8044479659966</v>
      </c>
      <c r="L8" s="108">
        <f ca="1">'C - Interest on WC'!K65</f>
        <v>2551.5056230610076</v>
      </c>
      <c r="M8" s="108">
        <f ca="1">'C - Interest on WC'!L65</f>
        <v>2581.417139772253</v>
      </c>
      <c r="N8" s="108">
        <f ca="1">'C - Interest on WC'!M65</f>
        <v>2636.0002898064899</v>
      </c>
      <c r="O8" s="108">
        <f ca="1">'C - Interest on WC'!N65</f>
        <v>2694.0192143911831</v>
      </c>
      <c r="P8" s="108">
        <f ca="1">'C - Interest on WC'!O65</f>
        <v>2755.690180758148</v>
      </c>
      <c r="Q8" s="108">
        <f ca="1">'C - Interest on WC'!P65</f>
        <v>2598.3496758151528</v>
      </c>
      <c r="R8" s="108">
        <f ca="1">'C - Interest on WC'!Q65</f>
        <v>2668.0288366962968</v>
      </c>
      <c r="S8" s="108">
        <f ca="1">'C - Interest on WC'!R65</f>
        <v>2742.0940010877275</v>
      </c>
      <c r="T8" s="108">
        <f ca="1">'C - Interest on WC'!S65</f>
        <v>2820.8212490476567</v>
      </c>
      <c r="U8" s="108">
        <f ca="1">'C - Interest on WC'!T65</f>
        <v>2904.5040386866303</v>
      </c>
      <c r="V8" s="108">
        <f ca="1">'C - Interest on WC'!U65</f>
        <v>2993.4543000411882</v>
      </c>
      <c r="W8" s="108">
        <f ca="1">'C - Interest on WC'!V65</f>
        <v>3088.0035978021606</v>
      </c>
      <c r="X8" s="108">
        <f ca="1">'C - Interest on WC'!W65</f>
        <v>3188.5043672317152</v>
      </c>
      <c r="Y8" s="108">
        <f ca="1">'C - Interest on WC'!X65</f>
        <v>3295.3312278760645</v>
      </c>
      <c r="Z8" s="108">
        <f ca="1">'C - Interest on WC'!Y65</f>
        <v>3408.8823799707388</v>
      </c>
      <c r="AA8" s="108">
        <f ca="1">'C - Interest on WC'!Z65</f>
        <v>3529.5810887435687</v>
      </c>
      <c r="AB8" s="108">
        <f ca="1">'C - Interest on WC'!AA65</f>
        <v>3657.8772621481498</v>
      </c>
      <c r="AC8" s="19">
        <f ca="1">'C - Interest on WC'!AB65</f>
        <v>3794.2491279088513</v>
      </c>
    </row>
    <row r="9" spans="2:29" ht="15.75" thickBot="1" x14ac:dyDescent="0.3">
      <c r="B9" s="141" t="s">
        <v>82</v>
      </c>
      <c r="C9" s="110" t="s">
        <v>0</v>
      </c>
      <c r="D9" s="110"/>
      <c r="E9" s="258">
        <f ca="1">SUM(E4:E8)</f>
        <v>73887.472062268193</v>
      </c>
      <c r="F9" s="258">
        <f t="shared" ref="F9:AC9" ca="1" si="0">SUM(F4:F8)</f>
        <v>69180.912432453202</v>
      </c>
      <c r="G9" s="258">
        <f t="shared" ca="1" si="0"/>
        <v>65148.625625790941</v>
      </c>
      <c r="H9" s="258">
        <f t="shared" ca="1" si="0"/>
        <v>61717.312412559491</v>
      </c>
      <c r="I9" s="258">
        <f t="shared" ca="1" si="0"/>
        <v>58822.312417144974</v>
      </c>
      <c r="J9" s="258">
        <f t="shared" ca="1" si="0"/>
        <v>56407.108294785299</v>
      </c>
      <c r="K9" s="258">
        <f t="shared" ca="1" si="0"/>
        <v>54422.458291566196</v>
      </c>
      <c r="L9" s="258">
        <f t="shared" ca="1" si="0"/>
        <v>52825.554237818476</v>
      </c>
      <c r="M9" s="258">
        <f t="shared" ca="1" si="0"/>
        <v>52744.425730217568</v>
      </c>
      <c r="N9" s="258">
        <f t="shared" ca="1" si="0"/>
        <v>53726.417031296478</v>
      </c>
      <c r="O9" s="258">
        <f t="shared" ca="1" si="0"/>
        <v>54770.220461556295</v>
      </c>
      <c r="P9" s="258">
        <f t="shared" ca="1" si="0"/>
        <v>55879.726828695289</v>
      </c>
      <c r="Q9" s="258">
        <f t="shared" ca="1" si="0"/>
        <v>46610.944033639244</v>
      </c>
      <c r="R9" s="258">
        <f t="shared" ca="1" si="0"/>
        <v>47864.523752084286</v>
      </c>
      <c r="S9" s="258">
        <f t="shared" ca="1" si="0"/>
        <v>49197.010922570844</v>
      </c>
      <c r="T9" s="258">
        <f t="shared" ca="1" si="0"/>
        <v>50613.372429849944</v>
      </c>
      <c r="U9" s="258">
        <f t="shared" ca="1" si="0"/>
        <v>52118.887802706668</v>
      </c>
      <c r="V9" s="258">
        <f t="shared" ca="1" si="0"/>
        <v>53719.168893557646</v>
      </c>
      <c r="W9" s="258">
        <f t="shared" ca="1" si="0"/>
        <v>55420.180796794404</v>
      </c>
      <c r="X9" s="258">
        <f t="shared" ca="1" si="0"/>
        <v>57228.264083846472</v>
      </c>
      <c r="Y9" s="258">
        <f t="shared" ca="1" si="0"/>
        <v>59150.158437846199</v>
      </c>
      <c r="Z9" s="258">
        <f t="shared" ca="1" si="0"/>
        <v>61193.027775993913</v>
      </c>
      <c r="AA9" s="258">
        <f t="shared" ca="1" si="0"/>
        <v>63364.48695326806</v>
      </c>
      <c r="AB9" s="258">
        <f t="shared" ca="1" si="0"/>
        <v>65672.630147019008</v>
      </c>
      <c r="AC9" s="259">
        <f t="shared" ca="1" si="0"/>
        <v>68126.061028250886</v>
      </c>
    </row>
    <row r="10" spans="2:29" ht="15.75" thickBot="1" x14ac:dyDescent="0.3"/>
    <row r="11" spans="2:29" x14ac:dyDescent="0.25">
      <c r="B11" s="198" t="s">
        <v>84</v>
      </c>
      <c r="C11" s="263">
        <f>'C - Assumptions'!E16</f>
        <v>9.8453944000000002E-2</v>
      </c>
      <c r="D11" s="26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52"/>
    </row>
    <row r="12" spans="2:29" ht="15.75" thickBot="1" x14ac:dyDescent="0.3">
      <c r="B12" s="141" t="s">
        <v>83</v>
      </c>
      <c r="C12" s="110"/>
      <c r="D12" s="110"/>
      <c r="E12" s="110">
        <f>1/(1+C11)^0</f>
        <v>1</v>
      </c>
      <c r="F12" s="264">
        <f>1/(1+$C$11)^E3</f>
        <v>0.91037043970957776</v>
      </c>
      <c r="G12" s="264">
        <f t="shared" ref="G12:AC12" si="1">1/(1+$C$11)^F3</f>
        <v>0.82877433749700991</v>
      </c>
      <c r="H12" s="264">
        <f t="shared" si="1"/>
        <v>0.754491658047167</v>
      </c>
      <c r="I12" s="264">
        <f t="shared" si="1"/>
        <v>0.68686690249360771</v>
      </c>
      <c r="J12" s="264">
        <f t="shared" si="1"/>
        <v>0.62530332404506139</v>
      </c>
      <c r="K12" s="264">
        <f t="shared" si="1"/>
        <v>0.56925766206276307</v>
      </c>
      <c r="L12" s="264">
        <f t="shared" si="1"/>
        <v>0.51823534812012384</v>
      </c>
      <c r="M12" s="264">
        <f t="shared" si="1"/>
        <v>0.47178614174116323</v>
      </c>
      <c r="N12" s="264">
        <f t="shared" si="1"/>
        <v>0.429500157305788</v>
      </c>
      <c r="O12" s="264">
        <f t="shared" si="1"/>
        <v>0.39100424706180303</v>
      </c>
      <c r="P12" s="264">
        <f t="shared" si="1"/>
        <v>0.35595870832596599</v>
      </c>
      <c r="Q12" s="264">
        <f t="shared" si="1"/>
        <v>0.324054285817163</v>
      </c>
      <c r="R12" s="264">
        <f t="shared" si="1"/>
        <v>0.29500944266914386</v>
      </c>
      <c r="S12" s="264">
        <f t="shared" si="1"/>
        <v>0.26856787604118593</v>
      </c>
      <c r="T12" s="264">
        <f t="shared" si="1"/>
        <v>0.24449625540348183</v>
      </c>
      <c r="U12" s="264">
        <f t="shared" si="1"/>
        <v>0.222582163539013</v>
      </c>
      <c r="V12" s="264">
        <f t="shared" si="1"/>
        <v>0.20263222209252044</v>
      </c>
      <c r="W12" s="264">
        <f t="shared" si="1"/>
        <v>0.18447038512569661</v>
      </c>
      <c r="X12" s="264">
        <f t="shared" si="1"/>
        <v>0.16793638562027557</v>
      </c>
      <c r="Y12" s="264">
        <f t="shared" si="1"/>
        <v>0.15288432122036749</v>
      </c>
      <c r="Z12" s="264">
        <f t="shared" si="1"/>
        <v>0.13918136673408629</v>
      </c>
      <c r="AA12" s="264">
        <f t="shared" si="1"/>
        <v>0.12670660203309012</v>
      </c>
      <c r="AB12" s="264">
        <f t="shared" si="1"/>
        <v>0.11534994500697074</v>
      </c>
      <c r="AC12" s="265">
        <f t="shared" si="1"/>
        <v>0.10501118015647155</v>
      </c>
    </row>
    <row r="13" spans="2:29" ht="15.75" thickBot="1" x14ac:dyDescent="0.3"/>
    <row r="14" spans="2:29" x14ac:dyDescent="0.25">
      <c r="B14" s="198" t="s">
        <v>85</v>
      </c>
      <c r="C14" s="143" t="s">
        <v>0</v>
      </c>
      <c r="D14" s="143"/>
      <c r="E14" s="266">
        <f>E$12*E4</f>
        <v>9040</v>
      </c>
      <c r="F14" s="266">
        <f t="shared" ref="F14:AC14" si="2">F$12*F4</f>
        <v>8748.6599256090431</v>
      </c>
      <c r="G14" s="266">
        <f t="shared" si="2"/>
        <v>8465.9298575319553</v>
      </c>
      <c r="H14" s="266">
        <f t="shared" si="2"/>
        <v>8192.2631185711743</v>
      </c>
      <c r="I14" s="266">
        <f t="shared" si="2"/>
        <v>7927.4428365588601</v>
      </c>
      <c r="J14" s="266">
        <f t="shared" si="2"/>
        <v>7671.183043968098</v>
      </c>
      <c r="K14" s="266">
        <f t="shared" si="2"/>
        <v>7423.2070173599559</v>
      </c>
      <c r="L14" s="266">
        <f t="shared" si="2"/>
        <v>7183.2469785622889</v>
      </c>
      <c r="M14" s="266">
        <f t="shared" si="2"/>
        <v>6951.0438055081095</v>
      </c>
      <c r="N14" s="266">
        <f t="shared" si="2"/>
        <v>6726.3467524213129</v>
      </c>
      <c r="O14" s="266">
        <f t="shared" si="2"/>
        <v>6508.913179047574</v>
      </c>
      <c r="P14" s="266">
        <f t="shared" si="2"/>
        <v>6298.5082886380396</v>
      </c>
      <c r="Q14" s="266">
        <f t="shared" si="2"/>
        <v>6094.9048744028623</v>
      </c>
      <c r="R14" s="266">
        <f t="shared" si="2"/>
        <v>5897.8830741607944</v>
      </c>
      <c r="S14" s="266">
        <f t="shared" si="2"/>
        <v>5707.2301329198981</v>
      </c>
      <c r="T14" s="266">
        <f t="shared" si="2"/>
        <v>5522.7401731329846</v>
      </c>
      <c r="U14" s="266">
        <f t="shared" si="2"/>
        <v>5344.2139723796954</v>
      </c>
      <c r="V14" s="266">
        <f t="shared" si="2"/>
        <v>5171.4587482351653</v>
      </c>
      <c r="W14" s="266">
        <f t="shared" si="2"/>
        <v>5004.2879500929366</v>
      </c>
      <c r="X14" s="266">
        <f t="shared" si="2"/>
        <v>4842.5210577173457</v>
      </c>
      <c r="Y14" s="266">
        <f t="shared" si="2"/>
        <v>4685.9833863078202</v>
      </c>
      <c r="Z14" s="266">
        <f t="shared" si="2"/>
        <v>4534.5058978646166</v>
      </c>
      <c r="AA14" s="266">
        <f t="shared" si="2"/>
        <v>4387.925018652274</v>
      </c>
      <c r="AB14" s="266">
        <f t="shared" si="2"/>
        <v>4246.0824625636897</v>
      </c>
      <c r="AC14" s="15">
        <f t="shared" si="2"/>
        <v>4108.8250601940535</v>
      </c>
    </row>
    <row r="15" spans="2:29" x14ac:dyDescent="0.25">
      <c r="B15" s="66" t="s">
        <v>86</v>
      </c>
      <c r="C15" s="10" t="s">
        <v>0</v>
      </c>
      <c r="D15" s="10"/>
      <c r="E15" s="108">
        <f t="shared" ref="E15:AC15" si="3">E$12*E5</f>
        <v>18714.610999989374</v>
      </c>
      <c r="F15" s="108">
        <f t="shared" si="3"/>
        <v>17037.228645054027</v>
      </c>
      <c r="G15" s="108">
        <f t="shared" si="3"/>
        <v>15510.189333030448</v>
      </c>
      <c r="H15" s="108">
        <f t="shared" si="3"/>
        <v>14120.017883089733</v>
      </c>
      <c r="I15" s="108">
        <f t="shared" si="3"/>
        <v>12854.446888935499</v>
      </c>
      <c r="J15" s="108">
        <f t="shared" si="3"/>
        <v>11702.308466503626</v>
      </c>
      <c r="K15" s="108">
        <f t="shared" si="3"/>
        <v>10653.43570426802</v>
      </c>
      <c r="L15" s="108">
        <f t="shared" si="3"/>
        <v>9698.5729465121931</v>
      </c>
      <c r="M15" s="108">
        <f t="shared" si="3"/>
        <v>8829.2941178717192</v>
      </c>
      <c r="N15" s="108">
        <f t="shared" si="3"/>
        <v>8037.9283684120664</v>
      </c>
      <c r="O15" s="108">
        <f t="shared" si="3"/>
        <v>7317.492383105382</v>
      </c>
      <c r="P15" s="108">
        <f t="shared" si="3"/>
        <v>6661.6287583791327</v>
      </c>
      <c r="Q15" s="108">
        <f t="shared" si="3"/>
        <v>6064.5499019475792</v>
      </c>
      <c r="R15" s="108">
        <f t="shared" si="3"/>
        <v>5520.986960876694</v>
      </c>
      <c r="S15" s="108">
        <f t="shared" si="3"/>
        <v>5026.1433272041604</v>
      </c>
      <c r="T15" s="108">
        <f t="shared" si="3"/>
        <v>4575.6523108302126</v>
      </c>
      <c r="U15" s="108">
        <f t="shared" si="3"/>
        <v>4165.5386061686468</v>
      </c>
      <c r="V15" s="108">
        <f t="shared" si="3"/>
        <v>3792.183212524973</v>
      </c>
      <c r="W15" s="108">
        <f t="shared" si="3"/>
        <v>3452.2914986456381</v>
      </c>
      <c r="X15" s="108">
        <f t="shared" si="3"/>
        <v>3142.8641296276664</v>
      </c>
      <c r="Y15" s="108">
        <f t="shared" si="3"/>
        <v>2861.1705996365986</v>
      </c>
      <c r="Z15" s="108">
        <f t="shared" si="3"/>
        <v>2604.7251368752864</v>
      </c>
      <c r="AA15" s="108">
        <f t="shared" si="3"/>
        <v>2371.2647681797444</v>
      </c>
      <c r="AB15" s="108">
        <f t="shared" si="3"/>
        <v>2158.7293496756238</v>
      </c>
      <c r="AC15" s="19">
        <f t="shared" si="3"/>
        <v>1965.2433872781685</v>
      </c>
    </row>
    <row r="16" spans="2:29" x14ac:dyDescent="0.25">
      <c r="B16" s="66" t="s">
        <v>87</v>
      </c>
      <c r="C16" s="10" t="s">
        <v>0</v>
      </c>
      <c r="D16" s="10"/>
      <c r="E16" s="108">
        <f t="shared" ref="E16:AC16" si="4">E$12*E6</f>
        <v>16714.934288938126</v>
      </c>
      <c r="F16" s="108">
        <f t="shared" si="4"/>
        <v>15216.782078337301</v>
      </c>
      <c r="G16" s="108">
        <f t="shared" si="4"/>
        <v>13852.90859162075</v>
      </c>
      <c r="H16" s="108">
        <f t="shared" si="4"/>
        <v>12611.278485810371</v>
      </c>
      <c r="I16" s="108">
        <f t="shared" si="4"/>
        <v>11480.935140427124</v>
      </c>
      <c r="J16" s="108">
        <f t="shared" si="4"/>
        <v>10451.903972067785</v>
      </c>
      <c r="K16" s="108">
        <f t="shared" si="4"/>
        <v>9515.1044148536312</v>
      </c>
      <c r="L16" s="108">
        <f t="shared" si="4"/>
        <v>8662.269790032844</v>
      </c>
      <c r="M16" s="108">
        <f t="shared" si="4"/>
        <v>7885.8743576351926</v>
      </c>
      <c r="N16" s="108">
        <f t="shared" si="4"/>
        <v>7179.0669064548347</v>
      </c>
      <c r="O16" s="108">
        <f t="shared" si="4"/>
        <v>6535.6102963337662</v>
      </c>
      <c r="P16" s="108">
        <f t="shared" si="4"/>
        <v>5949.8264192438137</v>
      </c>
      <c r="Q16" s="108">
        <f t="shared" si="4"/>
        <v>2103.0150552347427</v>
      </c>
      <c r="R16" s="108">
        <f t="shared" si="4"/>
        <v>1914.5227405499145</v>
      </c>
      <c r="S16" s="108">
        <f t="shared" si="4"/>
        <v>1742.9249091484114</v>
      </c>
      <c r="T16" s="108">
        <f t="shared" si="4"/>
        <v>1586.7073159222152</v>
      </c>
      <c r="U16" s="108">
        <f t="shared" si="4"/>
        <v>1444.4914368865111</v>
      </c>
      <c r="V16" s="108">
        <f t="shared" si="4"/>
        <v>1315.0223045550931</v>
      </c>
      <c r="W16" s="108">
        <f t="shared" si="4"/>
        <v>1197.1574336257222</v>
      </c>
      <c r="X16" s="108">
        <f t="shared" si="4"/>
        <v>1089.8567392514383</v>
      </c>
      <c r="Y16" s="108">
        <f t="shared" si="4"/>
        <v>992.17335893277857</v>
      </c>
      <c r="Z16" s="108">
        <f t="shared" si="4"/>
        <v>903.24529703976236</v>
      </c>
      <c r="AA16" s="108">
        <f t="shared" si="4"/>
        <v>822.28781823169652</v>
      </c>
      <c r="AB16" s="108">
        <f t="shared" si="4"/>
        <v>748.58652265141905</v>
      </c>
      <c r="AC16" s="19">
        <f t="shared" si="4"/>
        <v>681.49104178683604</v>
      </c>
    </row>
    <row r="17" spans="2:29" x14ac:dyDescent="0.25">
      <c r="B17" s="66" t="s">
        <v>88</v>
      </c>
      <c r="C17" s="10" t="s">
        <v>0</v>
      </c>
      <c r="D17" s="10"/>
      <c r="E17" s="108">
        <f t="shared" ref="E17:AC17" si="5">E$12*E7</f>
        <v>26591.940914219744</v>
      </c>
      <c r="F17" s="108">
        <f t="shared" si="5"/>
        <v>19477.481060271744</v>
      </c>
      <c r="G17" s="108">
        <f t="shared" si="5"/>
        <v>13941.567206607124</v>
      </c>
      <c r="H17" s="108">
        <f t="shared" si="5"/>
        <v>9655.598369647967</v>
      </c>
      <c r="I17" s="108">
        <f t="shared" si="5"/>
        <v>6357.6385565719875</v>
      </c>
      <c r="J17" s="108">
        <f t="shared" si="5"/>
        <v>3839.0409866215509</v>
      </c>
      <c r="K17" s="108">
        <f t="shared" si="5"/>
        <v>1933.7429695448666</v>
      </c>
      <c r="L17" s="108">
        <f t="shared" si="5"/>
        <v>509.69937016953986</v>
      </c>
      <c r="M17" s="108">
        <f t="shared" si="5"/>
        <v>0</v>
      </c>
      <c r="N17" s="108">
        <f t="shared" si="5"/>
        <v>0</v>
      </c>
      <c r="O17" s="108">
        <f t="shared" si="5"/>
        <v>0</v>
      </c>
      <c r="P17" s="108">
        <f t="shared" si="5"/>
        <v>0</v>
      </c>
      <c r="Q17" s="108">
        <f t="shared" si="5"/>
        <v>0</v>
      </c>
      <c r="R17" s="108">
        <f t="shared" si="5"/>
        <v>0</v>
      </c>
      <c r="S17" s="108">
        <f t="shared" si="5"/>
        <v>0</v>
      </c>
      <c r="T17" s="108">
        <f t="shared" si="5"/>
        <v>0</v>
      </c>
      <c r="U17" s="108">
        <f t="shared" si="5"/>
        <v>0</v>
      </c>
      <c r="V17" s="108">
        <f t="shared" si="5"/>
        <v>0</v>
      </c>
      <c r="W17" s="108">
        <f t="shared" si="5"/>
        <v>0</v>
      </c>
      <c r="X17" s="108">
        <f t="shared" si="5"/>
        <v>0</v>
      </c>
      <c r="Y17" s="108">
        <f t="shared" si="5"/>
        <v>0</v>
      </c>
      <c r="Z17" s="108">
        <f t="shared" si="5"/>
        <v>0</v>
      </c>
      <c r="AA17" s="108">
        <f t="shared" si="5"/>
        <v>0</v>
      </c>
      <c r="AB17" s="108">
        <f t="shared" si="5"/>
        <v>0</v>
      </c>
      <c r="AC17" s="19">
        <f t="shared" si="5"/>
        <v>0</v>
      </c>
    </row>
    <row r="18" spans="2:29" ht="15.75" thickBot="1" x14ac:dyDescent="0.3">
      <c r="B18" s="141" t="s">
        <v>89</v>
      </c>
      <c r="C18" s="110" t="s">
        <v>0</v>
      </c>
      <c r="D18" s="258"/>
      <c r="E18" s="258">
        <f ca="1">E12*E8</f>
        <v>2825.985859120954</v>
      </c>
      <c r="F18" s="258">
        <f t="shared" ref="F18:AC18" ca="1" si="6">F12*F8</f>
        <v>2500.1059613701022</v>
      </c>
      <c r="G18" s="258">
        <f t="shared" ca="1" si="6"/>
        <v>2222.9140530653294</v>
      </c>
      <c r="H18" s="258">
        <f t="shared" ca="1" si="6"/>
        <v>1986.0395152477695</v>
      </c>
      <c r="I18" s="258">
        <f t="shared" ca="1" si="6"/>
        <v>1782.6361049821771</v>
      </c>
      <c r="J18" s="258">
        <f t="shared" ca="1" si="6"/>
        <v>1607.115847337948</v>
      </c>
      <c r="K18" s="258">
        <f t="shared" ca="1" si="6"/>
        <v>1454.911264738734</v>
      </c>
      <c r="L18" s="258">
        <f t="shared" ca="1" si="6"/>
        <v>1322.2804047974748</v>
      </c>
      <c r="M18" s="258">
        <f t="shared" ca="1" si="6"/>
        <v>1217.8768325976603</v>
      </c>
      <c r="N18" s="258">
        <f t="shared" ca="1" si="6"/>
        <v>1132.1625391299901</v>
      </c>
      <c r="O18" s="258">
        <f t="shared" ca="1" si="6"/>
        <v>1053.3729544930547</v>
      </c>
      <c r="P18" s="258">
        <f t="shared" ca="1" si="6"/>
        <v>980.91191728921808</v>
      </c>
      <c r="Q18" s="258">
        <f t="shared" ca="1" si="6"/>
        <v>842.00634849953633</v>
      </c>
      <c r="R18" s="258">
        <f t="shared" ca="1" si="6"/>
        <v>787.09370013897876</v>
      </c>
      <c r="S18" s="258">
        <f t="shared" ca="1" si="6"/>
        <v>736.43836177740832</v>
      </c>
      <c r="T18" s="258">
        <f t="shared" ca="1" si="6"/>
        <v>689.68023255472451</v>
      </c>
      <c r="U18" s="258">
        <f t="shared" ca="1" si="6"/>
        <v>646.49079293867135</v>
      </c>
      <c r="V18" s="258">
        <f t="shared" ca="1" si="6"/>
        <v>606.57029654975634</v>
      </c>
      <c r="W18" s="258">
        <f t="shared" ca="1" si="6"/>
        <v>569.64521295610132</v>
      </c>
      <c r="X18" s="258">
        <f t="shared" ca="1" si="6"/>
        <v>535.46589896735804</v>
      </c>
      <c r="Y18" s="258">
        <f t="shared" ca="1" si="6"/>
        <v>503.80447797011226</v>
      </c>
      <c r="Z18" s="258">
        <f t="shared" ca="1" si="6"/>
        <v>474.45290868007231</v>
      </c>
      <c r="AA18" s="258">
        <f t="shared" ca="1" si="6"/>
        <v>447.22122635495231</v>
      </c>
      <c r="AB18" s="258">
        <f t="shared" ca="1" si="6"/>
        <v>421.93594103103777</v>
      </c>
      <c r="AC18" s="259">
        <f t="shared" ca="1" si="6"/>
        <v>398.43857872937144</v>
      </c>
    </row>
    <row r="19" spans="2:29" ht="15.75" thickBot="1" x14ac:dyDescent="0.3"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2:29" x14ac:dyDescent="0.25">
      <c r="B20" s="198" t="s">
        <v>90</v>
      </c>
      <c r="C20" s="143" t="s">
        <v>91</v>
      </c>
      <c r="D20" s="143"/>
      <c r="E20" s="266">
        <f>'[2]POST-GST Levellized Tariff'!$E$20</f>
        <v>4351.25</v>
      </c>
      <c r="F20" s="266">
        <f>E20</f>
        <v>4351.25</v>
      </c>
      <c r="G20" s="266">
        <f t="shared" ref="G20:AC20" si="7">F20</f>
        <v>4351.25</v>
      </c>
      <c r="H20" s="266">
        <f t="shared" si="7"/>
        <v>4351.25</v>
      </c>
      <c r="I20" s="266">
        <f t="shared" si="7"/>
        <v>4351.25</v>
      </c>
      <c r="J20" s="266">
        <f t="shared" si="7"/>
        <v>4351.25</v>
      </c>
      <c r="K20" s="266">
        <f t="shared" si="7"/>
        <v>4351.25</v>
      </c>
      <c r="L20" s="266">
        <f t="shared" si="7"/>
        <v>4351.25</v>
      </c>
      <c r="M20" s="266">
        <f t="shared" si="7"/>
        <v>4351.25</v>
      </c>
      <c r="N20" s="266">
        <f t="shared" si="7"/>
        <v>4351.25</v>
      </c>
      <c r="O20" s="266">
        <f t="shared" si="7"/>
        <v>4351.25</v>
      </c>
      <c r="P20" s="266">
        <f t="shared" si="7"/>
        <v>4351.25</v>
      </c>
      <c r="Q20" s="266">
        <f t="shared" si="7"/>
        <v>4351.25</v>
      </c>
      <c r="R20" s="266">
        <f t="shared" si="7"/>
        <v>4351.25</v>
      </c>
      <c r="S20" s="266">
        <f t="shared" si="7"/>
        <v>4351.25</v>
      </c>
      <c r="T20" s="266">
        <f t="shared" si="7"/>
        <v>4351.25</v>
      </c>
      <c r="U20" s="266">
        <f t="shared" si="7"/>
        <v>4351.25</v>
      </c>
      <c r="V20" s="266">
        <f t="shared" si="7"/>
        <v>4351.25</v>
      </c>
      <c r="W20" s="266">
        <f t="shared" si="7"/>
        <v>4351.25</v>
      </c>
      <c r="X20" s="266">
        <f t="shared" si="7"/>
        <v>4351.25</v>
      </c>
      <c r="Y20" s="266">
        <f t="shared" si="7"/>
        <v>4351.25</v>
      </c>
      <c r="Z20" s="266">
        <f t="shared" si="7"/>
        <v>4351.25</v>
      </c>
      <c r="AA20" s="266">
        <f t="shared" si="7"/>
        <v>4351.25</v>
      </c>
      <c r="AB20" s="266">
        <f t="shared" si="7"/>
        <v>4351.25</v>
      </c>
      <c r="AC20" s="15">
        <f t="shared" si="7"/>
        <v>4351.25</v>
      </c>
    </row>
    <row r="21" spans="2:29" x14ac:dyDescent="0.25">
      <c r="B21" s="66" t="s">
        <v>100</v>
      </c>
      <c r="C21" s="10" t="s">
        <v>106</v>
      </c>
      <c r="D21" s="63">
        <f>AVERAGE(E21:AC21)</f>
        <v>0.1440370529042464</v>
      </c>
      <c r="E21" s="63">
        <f>E14/(E$20*10)</f>
        <v>0.20775639184142489</v>
      </c>
      <c r="F21" s="63">
        <f t="shared" ref="F21:AC25" si="8">F14/(F$20*10)</f>
        <v>0.20106084287524373</v>
      </c>
      <c r="G21" s="63">
        <f t="shared" si="8"/>
        <v>0.19456316822825523</v>
      </c>
      <c r="H21" s="63">
        <f t="shared" si="8"/>
        <v>0.18827378612056705</v>
      </c>
      <c r="I21" s="63">
        <f t="shared" si="8"/>
        <v>0.18218771241732515</v>
      </c>
      <c r="J21" s="63">
        <f t="shared" si="8"/>
        <v>0.17629837504092152</v>
      </c>
      <c r="K21" s="63">
        <f t="shared" si="8"/>
        <v>0.1705994143604701</v>
      </c>
      <c r="L21" s="63">
        <f t="shared" si="8"/>
        <v>0.16508467632432725</v>
      </c>
      <c r="M21" s="63">
        <f t="shared" si="8"/>
        <v>0.15974820581460752</v>
      </c>
      <c r="N21" s="63">
        <f t="shared" si="8"/>
        <v>0.15458424021651967</v>
      </c>
      <c r="O21" s="63">
        <f t="shared" si="8"/>
        <v>0.14958720319557769</v>
      </c>
      <c r="P21" s="63">
        <f t="shared" si="8"/>
        <v>0.1447516986759676</v>
      </c>
      <c r="Q21" s="63">
        <f t="shared" si="8"/>
        <v>0.14007250501356766</v>
      </c>
      <c r="R21" s="63">
        <f t="shared" si="8"/>
        <v>0.13554456935732936</v>
      </c>
      <c r="S21" s="63">
        <f t="shared" si="8"/>
        <v>0.13116300219293073</v>
      </c>
      <c r="T21" s="63">
        <f t="shared" si="8"/>
        <v>0.12692307206280917</v>
      </c>
      <c r="U21" s="63">
        <f t="shared" si="8"/>
        <v>0.12282020045687321</v>
      </c>
      <c r="V21" s="63">
        <f t="shared" si="8"/>
        <v>0.11884995686837496</v>
      </c>
      <c r="W21" s="63">
        <f t="shared" si="8"/>
        <v>0.11500805400960498</v>
      </c>
      <c r="X21" s="63">
        <f t="shared" si="8"/>
        <v>0.11129034318224293</v>
      </c>
      <c r="Y21" s="63">
        <f t="shared" si="8"/>
        <v>0.10769280979736444</v>
      </c>
      <c r="Z21" s="63">
        <f t="shared" si="8"/>
        <v>0.10421156904026697</v>
      </c>
      <c r="AA21" s="63">
        <f t="shared" si="8"/>
        <v>0.1008428616754329</v>
      </c>
      <c r="AB21" s="63">
        <f t="shared" si="8"/>
        <v>9.7583049987100018E-2</v>
      </c>
      <c r="AC21" s="67">
        <f t="shared" si="8"/>
        <v>9.4428613851055526E-2</v>
      </c>
    </row>
    <row r="22" spans="2:29" x14ac:dyDescent="0.25">
      <c r="B22" s="66" t="s">
        <v>104</v>
      </c>
      <c r="C22" s="10" t="s">
        <v>106</v>
      </c>
      <c r="D22" s="63">
        <f t="shared" ref="D22:D24" si="9">AVERAGE(E22:AC22)</f>
        <v>0.1735947120341256</v>
      </c>
      <c r="E22" s="63">
        <f t="shared" ref="E22:T25" si="10">E15/(E$20*10)</f>
        <v>0.43009735133557886</v>
      </c>
      <c r="F22" s="63">
        <f t="shared" si="10"/>
        <v>0.39154791485329565</v>
      </c>
      <c r="G22" s="63">
        <f t="shared" si="10"/>
        <v>0.35645364741236307</v>
      </c>
      <c r="H22" s="63">
        <f t="shared" si="10"/>
        <v>0.32450486373087578</v>
      </c>
      <c r="I22" s="63">
        <f t="shared" si="10"/>
        <v>0.29541963548257394</v>
      </c>
      <c r="J22" s="63">
        <f t="shared" si="10"/>
        <v>0.26894130345311407</v>
      </c>
      <c r="K22" s="63">
        <f t="shared" si="10"/>
        <v>0.24483621268067843</v>
      </c>
      <c r="L22" s="63">
        <f t="shared" si="10"/>
        <v>0.22289165059493693</v>
      </c>
      <c r="M22" s="63">
        <f t="shared" si="10"/>
        <v>0.20291396995970629</v>
      </c>
      <c r="N22" s="63">
        <f t="shared" si="10"/>
        <v>0.18472688005543386</v>
      </c>
      <c r="O22" s="63">
        <f t="shared" si="10"/>
        <v>0.16816989102224378</v>
      </c>
      <c r="P22" s="63">
        <f t="shared" si="10"/>
        <v>0.15309689763583184</v>
      </c>
      <c r="Q22" s="63">
        <f t="shared" si="10"/>
        <v>0.13937489001890443</v>
      </c>
      <c r="R22" s="63">
        <f t="shared" si="10"/>
        <v>0.12688277991098407</v>
      </c>
      <c r="S22" s="63">
        <f t="shared" si="10"/>
        <v>0.11551033213913613</v>
      </c>
      <c r="T22" s="63">
        <f t="shared" si="10"/>
        <v>0.10515719186050475</v>
      </c>
      <c r="U22" s="63">
        <f t="shared" si="8"/>
        <v>9.5731998992672152E-2</v>
      </c>
      <c r="V22" s="63">
        <f t="shared" si="8"/>
        <v>8.7151582017235801E-2</v>
      </c>
      <c r="W22" s="63">
        <f t="shared" si="8"/>
        <v>7.9340224042416266E-2</v>
      </c>
      <c r="X22" s="63">
        <f t="shared" si="8"/>
        <v>7.2228994648150913E-2</v>
      </c>
      <c r="Y22" s="63">
        <f t="shared" si="8"/>
        <v>6.575514161761789E-2</v>
      </c>
      <c r="Z22" s="63">
        <f t="shared" si="8"/>
        <v>5.9861537187596355E-2</v>
      </c>
      <c r="AA22" s="63">
        <f t="shared" si="8"/>
        <v>5.4496173931163329E-2</v>
      </c>
      <c r="AB22" s="63">
        <f t="shared" si="8"/>
        <v>4.9611705824202788E-2</v>
      </c>
      <c r="AC22" s="67">
        <f t="shared" si="8"/>
        <v>4.5165030445921711E-2</v>
      </c>
    </row>
    <row r="23" spans="2:29" x14ac:dyDescent="0.25">
      <c r="B23" s="66" t="s">
        <v>101</v>
      </c>
      <c r="C23" s="10" t="s">
        <v>106</v>
      </c>
      <c r="D23" s="63">
        <f t="shared" si="9"/>
        <v>0.13108690763856096</v>
      </c>
      <c r="E23" s="63">
        <f t="shared" si="10"/>
        <v>0.38414097762569666</v>
      </c>
      <c r="F23" s="63">
        <f t="shared" si="8"/>
        <v>0.34971059071157257</v>
      </c>
      <c r="G23" s="63">
        <f t="shared" si="8"/>
        <v>0.31836618423719043</v>
      </c>
      <c r="H23" s="63">
        <f t="shared" si="8"/>
        <v>0.28983116313267154</v>
      </c>
      <c r="I23" s="63">
        <f t="shared" si="8"/>
        <v>0.26385372342262853</v>
      </c>
      <c r="J23" s="63">
        <f t="shared" si="8"/>
        <v>0.24020463021126767</v>
      </c>
      <c r="K23" s="63">
        <f t="shared" si="8"/>
        <v>0.21867519482570827</v>
      </c>
      <c r="L23" s="63">
        <f t="shared" si="8"/>
        <v>0.19907543326705759</v>
      </c>
      <c r="M23" s="63">
        <f t="shared" si="8"/>
        <v>0.18123238971870595</v>
      </c>
      <c r="N23" s="63">
        <f t="shared" si="8"/>
        <v>0.1649886103178359</v>
      </c>
      <c r="O23" s="63">
        <f t="shared" si="8"/>
        <v>0.15020075372212044</v>
      </c>
      <c r="P23" s="63">
        <f t="shared" si="8"/>
        <v>0.13673832621071677</v>
      </c>
      <c r="Q23" s="63">
        <f t="shared" si="8"/>
        <v>4.8331285383159846E-2</v>
      </c>
      <c r="R23" s="63">
        <f t="shared" si="8"/>
        <v>4.399937352599631E-2</v>
      </c>
      <c r="S23" s="63">
        <f t="shared" si="8"/>
        <v>4.0055729023807211E-2</v>
      </c>
      <c r="T23" s="63">
        <f t="shared" si="8"/>
        <v>3.6465551644291071E-2</v>
      </c>
      <c r="U23" s="63">
        <f t="shared" si="8"/>
        <v>3.3197160284665579E-2</v>
      </c>
      <c r="V23" s="63">
        <f t="shared" si="8"/>
        <v>3.0221713405460343E-2</v>
      </c>
      <c r="W23" s="63">
        <f t="shared" si="8"/>
        <v>2.7512954521705768E-2</v>
      </c>
      <c r="X23" s="63">
        <f t="shared" si="8"/>
        <v>2.5046980505634892E-2</v>
      </c>
      <c r="Y23" s="63">
        <f t="shared" si="8"/>
        <v>2.2802030656312061E-2</v>
      </c>
      <c r="Z23" s="63">
        <f t="shared" si="8"/>
        <v>2.0758294674858083E-2</v>
      </c>
      <c r="AA23" s="63">
        <f t="shared" si="8"/>
        <v>1.8897737850771538E-2</v>
      </c>
      <c r="AB23" s="63">
        <f t="shared" si="8"/>
        <v>1.7203941916723219E-2</v>
      </c>
      <c r="AC23" s="67">
        <f t="shared" si="8"/>
        <v>1.566196016746535E-2</v>
      </c>
    </row>
    <row r="24" spans="2:29" x14ac:dyDescent="0.25">
      <c r="B24" s="66" t="s">
        <v>102</v>
      </c>
      <c r="C24" s="10" t="s">
        <v>106</v>
      </c>
      <c r="D24" s="63">
        <f t="shared" si="9"/>
        <v>7.5662588390604565E-2</v>
      </c>
      <c r="E24" s="63">
        <f t="shared" si="10"/>
        <v>0.6111333734954264</v>
      </c>
      <c r="F24" s="63">
        <f t="shared" si="8"/>
        <v>0.44762955611081284</v>
      </c>
      <c r="G24" s="63">
        <f t="shared" si="8"/>
        <v>0.32040372781630849</v>
      </c>
      <c r="H24" s="63">
        <f t="shared" si="8"/>
        <v>0.2219040130915936</v>
      </c>
      <c r="I24" s="63">
        <f t="shared" si="8"/>
        <v>0.1461106246842169</v>
      </c>
      <c r="J24" s="63">
        <f t="shared" si="8"/>
        <v>8.8228462777858105E-2</v>
      </c>
      <c r="K24" s="63">
        <f t="shared" si="8"/>
        <v>4.4441090940416351E-2</v>
      </c>
      <c r="L24" s="63">
        <f t="shared" si="8"/>
        <v>1.1713860848481238E-2</v>
      </c>
      <c r="M24" s="63">
        <f t="shared" si="8"/>
        <v>0</v>
      </c>
      <c r="N24" s="63">
        <f t="shared" si="8"/>
        <v>0</v>
      </c>
      <c r="O24" s="63">
        <f t="shared" si="8"/>
        <v>0</v>
      </c>
      <c r="P24" s="63">
        <f t="shared" si="8"/>
        <v>0</v>
      </c>
      <c r="Q24" s="63">
        <f t="shared" si="8"/>
        <v>0</v>
      </c>
      <c r="R24" s="63">
        <f t="shared" si="8"/>
        <v>0</v>
      </c>
      <c r="S24" s="63">
        <f t="shared" si="8"/>
        <v>0</v>
      </c>
      <c r="T24" s="63">
        <f t="shared" si="8"/>
        <v>0</v>
      </c>
      <c r="U24" s="63">
        <f t="shared" si="8"/>
        <v>0</v>
      </c>
      <c r="V24" s="63">
        <f t="shared" si="8"/>
        <v>0</v>
      </c>
      <c r="W24" s="63">
        <f t="shared" si="8"/>
        <v>0</v>
      </c>
      <c r="X24" s="63">
        <f t="shared" si="8"/>
        <v>0</v>
      </c>
      <c r="Y24" s="63">
        <f t="shared" si="8"/>
        <v>0</v>
      </c>
      <c r="Z24" s="63">
        <f t="shared" si="8"/>
        <v>0</v>
      </c>
      <c r="AA24" s="63">
        <f t="shared" si="8"/>
        <v>0</v>
      </c>
      <c r="AB24" s="63">
        <f t="shared" si="8"/>
        <v>0</v>
      </c>
      <c r="AC24" s="67">
        <f t="shared" si="8"/>
        <v>0</v>
      </c>
    </row>
    <row r="25" spans="2:29" ht="15.75" thickBot="1" x14ac:dyDescent="0.3">
      <c r="B25" s="196" t="s">
        <v>103</v>
      </c>
      <c r="C25" s="153" t="s">
        <v>106</v>
      </c>
      <c r="D25" s="241">
        <f ca="1">AVERAGE(E25:AC25)</f>
        <v>2.550582681419768E-2</v>
      </c>
      <c r="E25" s="119">
        <f t="shared" ca="1" si="10"/>
        <v>6.4946529367904723E-2</v>
      </c>
      <c r="F25" s="119">
        <f t="shared" ca="1" si="8"/>
        <v>5.7457189574722255E-2</v>
      </c>
      <c r="G25" s="119">
        <f t="shared" ca="1" si="8"/>
        <v>5.1086792371510016E-2</v>
      </c>
      <c r="H25" s="119">
        <f ca="1">H18/(H$20*10)</f>
        <v>4.5642965015748799E-2</v>
      </c>
      <c r="I25" s="119">
        <f t="shared" ca="1" si="8"/>
        <v>4.0968367824927944E-2</v>
      </c>
      <c r="J25" s="119">
        <f t="shared" ca="1" si="8"/>
        <v>3.6934578508197598E-2</v>
      </c>
      <c r="K25" s="119">
        <f t="shared" ca="1" si="8"/>
        <v>3.3436627744641977E-2</v>
      </c>
      <c r="L25" s="119">
        <f t="shared" ca="1" si="8"/>
        <v>3.0388518352139612E-2</v>
      </c>
      <c r="M25" s="119">
        <f t="shared" ca="1" si="8"/>
        <v>2.7989125713247003E-2</v>
      </c>
      <c r="N25" s="119">
        <f t="shared" ca="1" si="8"/>
        <v>2.60192482419992E-2</v>
      </c>
      <c r="O25" s="119">
        <f t="shared" ca="1" si="8"/>
        <v>2.4208513748763108E-2</v>
      </c>
      <c r="P25" s="119">
        <f t="shared" ca="1" si="8"/>
        <v>2.2543221310869707E-2</v>
      </c>
      <c r="Q25" s="119">
        <f t="shared" ca="1" si="8"/>
        <v>1.9350907176088165E-2</v>
      </c>
      <c r="R25" s="119">
        <f t="shared" ca="1" si="8"/>
        <v>1.8088910086503391E-2</v>
      </c>
      <c r="S25" s="119">
        <f t="shared" ca="1" si="8"/>
        <v>1.6924754077044718E-2</v>
      </c>
      <c r="T25" s="119">
        <f t="shared" ca="1" si="8"/>
        <v>1.5850163345124377E-2</v>
      </c>
      <c r="U25" s="119">
        <f t="shared" ca="1" si="8"/>
        <v>1.4857587887128328E-2</v>
      </c>
      <c r="V25" s="119">
        <f t="shared" ca="1" si="8"/>
        <v>1.3940138961212441E-2</v>
      </c>
      <c r="W25" s="119">
        <f t="shared" ca="1" si="8"/>
        <v>1.3091530317865011E-2</v>
      </c>
      <c r="X25" s="119">
        <f t="shared" ca="1" si="8"/>
        <v>1.2306024681812308E-2</v>
      </c>
      <c r="Y25" s="119">
        <f t="shared" ca="1" si="8"/>
        <v>1.157838501511318E-2</v>
      </c>
      <c r="Z25" s="119">
        <f t="shared" ca="1" si="8"/>
        <v>1.0903830133411601E-2</v>
      </c>
      <c r="AA25" s="119">
        <f t="shared" ca="1" si="8"/>
        <v>1.0277994285663943E-2</v>
      </c>
      <c r="AB25" s="119">
        <f t="shared" ca="1" si="8"/>
        <v>9.696890342569096E-3</v>
      </c>
      <c r="AC25" s="120">
        <f t="shared" ca="1" si="8"/>
        <v>9.1568762707123566E-3</v>
      </c>
    </row>
    <row r="26" spans="2:29" s="2" customFormat="1" x14ac:dyDescent="0.25">
      <c r="B26" s="267" t="s">
        <v>105</v>
      </c>
      <c r="C26" s="268" t="s">
        <v>106</v>
      </c>
      <c r="D26" s="269">
        <f ca="1">SUM(D21:D25)</f>
        <v>0.54988708778173512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2:29" ht="15.75" thickBot="1" x14ac:dyDescent="0.3">
      <c r="B27" s="270" t="s">
        <v>108</v>
      </c>
      <c r="C27" s="271" t="s">
        <v>106</v>
      </c>
      <c r="D27" s="272">
        <f>'C_DI - Energy Charges'!E26</f>
        <v>0</v>
      </c>
      <c r="E27" s="107"/>
    </row>
    <row r="28" spans="2:29" ht="16.5" thickBot="1" x14ac:dyDescent="0.3">
      <c r="B28" s="273" t="s">
        <v>383</v>
      </c>
      <c r="C28" s="274" t="s">
        <v>106</v>
      </c>
      <c r="D28" s="275">
        <f ca="1">ROUNDDOWN(SUM(D26:D27),2)</f>
        <v>0.54</v>
      </c>
    </row>
    <row r="29" spans="2:29" x14ac:dyDescent="0.25">
      <c r="C29" s="530" t="s">
        <v>377</v>
      </c>
      <c r="D29" s="531">
        <f ca="1">(D28-'C_DI - Pre-GST LCOE'!D28)/'C_DI - Pre-GST LCOE'!D28</f>
        <v>-5.2631578947368279E-2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B0791-D4E6-4AC9-AFB8-978F573F6FF0}">
  <sheetPr>
    <tabColor theme="7" tint="-0.249977111117893"/>
  </sheetPr>
  <dimension ref="B1:M34"/>
  <sheetViews>
    <sheetView topLeftCell="A13" zoomScale="80" zoomScaleNormal="80" workbookViewId="0">
      <selection activeCell="C34" sqref="C34"/>
    </sheetView>
  </sheetViews>
  <sheetFormatPr defaultRowHeight="15" x14ac:dyDescent="0.25"/>
  <cols>
    <col min="1" max="1" width="5" customWidth="1"/>
    <col min="2" max="2" width="33.140625" style="203" bestFit="1" customWidth="1"/>
    <col min="3" max="3" width="38.5703125" bestFit="1" customWidth="1"/>
    <col min="4" max="4" width="9.85546875" bestFit="1" customWidth="1"/>
    <col min="5" max="5" width="6.5703125" bestFit="1" customWidth="1"/>
    <col min="6" max="6" width="11.28515625" bestFit="1" customWidth="1"/>
    <col min="7" max="7" width="30.7109375" bestFit="1" customWidth="1"/>
    <col min="8" max="8" width="33.140625" style="1" bestFit="1" customWidth="1"/>
    <col min="9" max="9" width="40.140625" bestFit="1" customWidth="1"/>
    <col min="10" max="10" width="9.85546875" bestFit="1" customWidth="1"/>
    <col min="11" max="11" width="5.5703125" bestFit="1" customWidth="1"/>
    <col min="12" max="12" width="11.28515625" bestFit="1" customWidth="1"/>
    <col min="13" max="13" width="30.7109375" bestFit="1" customWidth="1"/>
  </cols>
  <sheetData>
    <row r="1" spans="2:12" ht="15.75" thickBot="1" x14ac:dyDescent="0.3"/>
    <row r="2" spans="2:12" ht="15.75" thickBot="1" x14ac:dyDescent="0.3">
      <c r="C2" s="179"/>
      <c r="D2" s="180" t="s">
        <v>4</v>
      </c>
      <c r="E2" s="180" t="s">
        <v>20</v>
      </c>
      <c r="F2" s="181" t="s">
        <v>5</v>
      </c>
      <c r="G2" s="2"/>
      <c r="H2" s="201"/>
      <c r="I2" s="179"/>
      <c r="J2" s="180" t="s">
        <v>4</v>
      </c>
      <c r="K2" s="180" t="s">
        <v>20</v>
      </c>
      <c r="L2" s="181" t="s">
        <v>5</v>
      </c>
    </row>
    <row r="3" spans="2:12" x14ac:dyDescent="0.25">
      <c r="C3" s="74" t="s">
        <v>148</v>
      </c>
      <c r="D3" s="112"/>
      <c r="E3" s="571" t="s">
        <v>198</v>
      </c>
      <c r="F3" s="572"/>
      <c r="H3" s="201"/>
      <c r="I3" s="74" t="s">
        <v>148</v>
      </c>
      <c r="J3" s="112"/>
      <c r="K3" s="571" t="str">
        <f>E3</f>
        <v>G11</v>
      </c>
      <c r="L3" s="572"/>
    </row>
    <row r="4" spans="2:12" x14ac:dyDescent="0.25">
      <c r="C4" s="66" t="s">
        <v>6</v>
      </c>
      <c r="D4" s="10" t="s">
        <v>131</v>
      </c>
      <c r="E4" s="573" t="s">
        <v>199</v>
      </c>
      <c r="F4" s="574"/>
      <c r="H4" s="201"/>
      <c r="I4" s="66" t="s">
        <v>6</v>
      </c>
      <c r="J4" s="10" t="s">
        <v>131</v>
      </c>
      <c r="K4" s="573" t="str">
        <f>E4</f>
        <v>4000 to 4300</v>
      </c>
      <c r="L4" s="574"/>
    </row>
    <row r="5" spans="2:12" ht="15.75" thickBot="1" x14ac:dyDescent="0.3">
      <c r="C5" s="141"/>
      <c r="D5" s="110"/>
      <c r="E5" s="575"/>
      <c r="F5" s="576"/>
      <c r="H5" s="201"/>
      <c r="I5" s="196"/>
      <c r="J5" s="153"/>
      <c r="K5" s="577"/>
      <c r="L5" s="578"/>
    </row>
    <row r="6" spans="2:12" x14ac:dyDescent="0.25">
      <c r="B6" s="563" t="s">
        <v>7</v>
      </c>
      <c r="C6" s="198" t="s">
        <v>7</v>
      </c>
      <c r="D6" s="143" t="s">
        <v>200</v>
      </c>
      <c r="E6" s="183"/>
      <c r="F6" s="184">
        <v>955</v>
      </c>
      <c r="G6" s="175"/>
      <c r="H6" s="566" t="s">
        <v>7</v>
      </c>
      <c r="I6" s="198" t="s">
        <v>7</v>
      </c>
      <c r="J6" s="143" t="s">
        <v>200</v>
      </c>
      <c r="K6" s="183"/>
      <c r="L6" s="184">
        <f>F6</f>
        <v>955</v>
      </c>
    </row>
    <row r="7" spans="2:12" x14ac:dyDescent="0.25">
      <c r="B7" s="564"/>
      <c r="C7" s="66" t="s">
        <v>8</v>
      </c>
      <c r="D7" s="10" t="s">
        <v>200</v>
      </c>
      <c r="E7" s="10">
        <v>79</v>
      </c>
      <c r="F7" s="185">
        <f>E7</f>
        <v>79</v>
      </c>
      <c r="G7" s="175"/>
      <c r="H7" s="567"/>
      <c r="I7" s="66" t="s">
        <v>8</v>
      </c>
      <c r="J7" s="10" t="s">
        <v>200</v>
      </c>
      <c r="K7" s="10">
        <v>79</v>
      </c>
      <c r="L7" s="185">
        <f>K7</f>
        <v>79</v>
      </c>
    </row>
    <row r="8" spans="2:12" x14ac:dyDescent="0.25">
      <c r="B8" s="564"/>
      <c r="C8" s="66" t="s">
        <v>9</v>
      </c>
      <c r="D8" s="10" t="s">
        <v>200</v>
      </c>
      <c r="E8" s="10">
        <v>57</v>
      </c>
      <c r="F8" s="185">
        <f>E8</f>
        <v>57</v>
      </c>
      <c r="H8" s="567"/>
      <c r="I8" s="66" t="s">
        <v>9</v>
      </c>
      <c r="J8" s="10" t="s">
        <v>200</v>
      </c>
      <c r="K8" s="10">
        <v>57</v>
      </c>
      <c r="L8" s="185">
        <f>K8</f>
        <v>57</v>
      </c>
    </row>
    <row r="9" spans="2:12" x14ac:dyDescent="0.25">
      <c r="B9" s="564"/>
      <c r="C9" s="66" t="s">
        <v>10</v>
      </c>
      <c r="D9" s="10" t="s">
        <v>200</v>
      </c>
      <c r="E9" s="176">
        <v>0.14000000000000001</v>
      </c>
      <c r="F9" s="67">
        <f>$E$9*F6</f>
        <v>133.70000000000002</v>
      </c>
      <c r="H9" s="567"/>
      <c r="I9" s="66" t="s">
        <v>10</v>
      </c>
      <c r="J9" s="10" t="s">
        <v>200</v>
      </c>
      <c r="K9" s="176">
        <v>0.14000000000000001</v>
      </c>
      <c r="L9" s="67">
        <f>K9*L6</f>
        <v>133.70000000000002</v>
      </c>
    </row>
    <row r="10" spans="2:12" x14ac:dyDescent="0.25">
      <c r="B10" s="564"/>
      <c r="C10" s="66" t="s">
        <v>145</v>
      </c>
      <c r="D10" s="10" t="s">
        <v>200</v>
      </c>
      <c r="E10" s="176">
        <v>0.3</v>
      </c>
      <c r="F10" s="67">
        <f>$E10*$F$9</f>
        <v>40.110000000000007</v>
      </c>
      <c r="H10" s="567"/>
      <c r="I10" s="66" t="s">
        <v>145</v>
      </c>
      <c r="J10" s="10" t="s">
        <v>200</v>
      </c>
      <c r="K10" s="176">
        <v>0.3</v>
      </c>
      <c r="L10" s="67">
        <f>K10*L9</f>
        <v>40.110000000000007</v>
      </c>
    </row>
    <row r="11" spans="2:12" x14ac:dyDescent="0.25">
      <c r="B11" s="564"/>
      <c r="C11" s="66" t="s">
        <v>146</v>
      </c>
      <c r="D11" s="10" t="s">
        <v>200</v>
      </c>
      <c r="E11" s="176">
        <v>0.02</v>
      </c>
      <c r="F11" s="67">
        <f>$E11*$F$9</f>
        <v>2.6740000000000004</v>
      </c>
      <c r="H11" s="567"/>
      <c r="I11" s="66" t="s">
        <v>146</v>
      </c>
      <c r="J11" s="10" t="s">
        <v>200</v>
      </c>
      <c r="K11" s="176">
        <v>0.02</v>
      </c>
      <c r="L11" s="67">
        <f>K11*L9</f>
        <v>2.6740000000000004</v>
      </c>
    </row>
    <row r="12" spans="2:12" x14ac:dyDescent="0.25">
      <c r="B12" s="564"/>
      <c r="C12" s="66" t="s">
        <v>12</v>
      </c>
      <c r="D12" s="10" t="s">
        <v>200</v>
      </c>
      <c r="E12" s="10">
        <v>10</v>
      </c>
      <c r="F12" s="185">
        <f>E12</f>
        <v>10</v>
      </c>
      <c r="H12" s="567"/>
      <c r="I12" s="66" t="s">
        <v>12</v>
      </c>
      <c r="J12" s="10" t="s">
        <v>200</v>
      </c>
      <c r="K12" s="63">
        <v>0</v>
      </c>
      <c r="L12" s="185">
        <f>K12</f>
        <v>0</v>
      </c>
    </row>
    <row r="13" spans="2:12" x14ac:dyDescent="0.25">
      <c r="B13" s="565"/>
      <c r="C13" s="196" t="s">
        <v>204</v>
      </c>
      <c r="D13" s="153" t="s">
        <v>200</v>
      </c>
      <c r="E13" s="153">
        <v>400</v>
      </c>
      <c r="F13" s="239">
        <v>400</v>
      </c>
      <c r="H13" s="293"/>
      <c r="I13" s="196"/>
      <c r="J13" s="153"/>
      <c r="K13" s="153"/>
      <c r="L13" s="239"/>
    </row>
    <row r="14" spans="2:12" ht="15.75" thickBot="1" x14ac:dyDescent="0.3">
      <c r="B14" s="204" t="s">
        <v>174</v>
      </c>
      <c r="C14" s="195" t="s">
        <v>13</v>
      </c>
      <c r="D14" s="186" t="s">
        <v>200</v>
      </c>
      <c r="E14" s="187"/>
      <c r="F14" s="188">
        <f>SUM(F6:F13)</f>
        <v>1677.4839999999999</v>
      </c>
      <c r="G14" s="294"/>
      <c r="H14" s="202" t="s">
        <v>174</v>
      </c>
      <c r="I14" s="195" t="s">
        <v>13</v>
      </c>
      <c r="J14" s="186" t="s">
        <v>200</v>
      </c>
      <c r="K14" s="186"/>
      <c r="L14" s="295">
        <f>SUM(L6:L12)</f>
        <v>1267.4839999999999</v>
      </c>
    </row>
    <row r="15" spans="2:12" x14ac:dyDescent="0.25">
      <c r="B15" s="568" t="s">
        <v>171</v>
      </c>
      <c r="C15" s="198"/>
      <c r="D15" s="143"/>
      <c r="E15" s="143"/>
      <c r="F15" s="189"/>
      <c r="H15" s="570" t="s">
        <v>171</v>
      </c>
      <c r="I15" s="74" t="s">
        <v>217</v>
      </c>
      <c r="J15" s="112" t="s">
        <v>200</v>
      </c>
      <c r="K15" s="112">
        <v>400</v>
      </c>
      <c r="L15" s="197">
        <f>K15</f>
        <v>400</v>
      </c>
    </row>
    <row r="16" spans="2:12" x14ac:dyDescent="0.25">
      <c r="B16" s="569"/>
      <c r="D16" s="10" t="s">
        <v>200</v>
      </c>
      <c r="E16" s="176">
        <v>0.06</v>
      </c>
      <c r="F16" s="67">
        <f>$E$16*F14</f>
        <v>100.64903999999999</v>
      </c>
      <c r="H16" s="567"/>
      <c r="I16" s="66" t="s">
        <v>214</v>
      </c>
      <c r="J16" s="10" t="s">
        <v>200</v>
      </c>
      <c r="K16" s="176">
        <v>0.05</v>
      </c>
      <c r="L16" s="67">
        <f>K16*L14</f>
        <v>63.374200000000002</v>
      </c>
    </row>
    <row r="17" spans="2:13" ht="15.75" thickBot="1" x14ac:dyDescent="0.3">
      <c r="B17" s="569"/>
      <c r="C17" s="66" t="s">
        <v>178</v>
      </c>
      <c r="D17" s="10" t="s">
        <v>200</v>
      </c>
      <c r="E17" s="176">
        <v>0.02</v>
      </c>
      <c r="F17" s="67">
        <f>$E$17*F14</f>
        <v>33.549680000000002</v>
      </c>
      <c r="H17" s="202" t="s">
        <v>175</v>
      </c>
      <c r="I17" s="195" t="s">
        <v>13</v>
      </c>
      <c r="J17" s="186" t="s">
        <v>200</v>
      </c>
      <c r="K17" s="186"/>
      <c r="L17" s="295">
        <f>SUM(L15:L16)</f>
        <v>463.37419999999997</v>
      </c>
    </row>
    <row r="18" spans="2:13" x14ac:dyDescent="0.25">
      <c r="B18" s="569"/>
      <c r="C18" s="66"/>
      <c r="D18" s="10"/>
      <c r="E18" s="176"/>
      <c r="F18" s="67"/>
      <c r="H18" s="570" t="s">
        <v>172</v>
      </c>
      <c r="I18" s="74" t="s">
        <v>14</v>
      </c>
      <c r="J18" s="112" t="s">
        <v>144</v>
      </c>
      <c r="K18" s="182"/>
      <c r="L18" s="296">
        <f>F20</f>
        <v>533</v>
      </c>
    </row>
    <row r="19" spans="2:13" ht="15.75" thickBot="1" x14ac:dyDescent="0.3">
      <c r="B19" s="204" t="s">
        <v>175</v>
      </c>
      <c r="C19" s="195" t="s">
        <v>13</v>
      </c>
      <c r="D19" s="186" t="s">
        <v>200</v>
      </c>
      <c r="E19" s="187"/>
      <c r="F19" s="188">
        <f>SUM(F15:F18)</f>
        <v>134.19871999999998</v>
      </c>
      <c r="G19" s="107"/>
      <c r="H19" s="567"/>
      <c r="I19" s="66" t="s">
        <v>15</v>
      </c>
      <c r="J19" s="10" t="s">
        <v>144</v>
      </c>
      <c r="K19" s="8"/>
      <c r="L19" s="297">
        <f>F21</f>
        <v>0</v>
      </c>
    </row>
    <row r="20" spans="2:13" x14ac:dyDescent="0.25">
      <c r="B20" s="565" t="s">
        <v>172</v>
      </c>
      <c r="C20" s="198" t="s">
        <v>14</v>
      </c>
      <c r="D20" s="143" t="s">
        <v>144</v>
      </c>
      <c r="E20" s="183"/>
      <c r="F20" s="184">
        <v>533</v>
      </c>
      <c r="H20" s="567"/>
      <c r="I20" s="66" t="s">
        <v>16</v>
      </c>
      <c r="J20" s="10" t="s">
        <v>200</v>
      </c>
      <c r="K20" s="8"/>
      <c r="L20" s="297">
        <f>F22</f>
        <v>949</v>
      </c>
      <c r="M20" t="s">
        <v>202</v>
      </c>
    </row>
    <row r="21" spans="2:13" ht="15.75" thickBot="1" x14ac:dyDescent="0.3">
      <c r="B21" s="569"/>
      <c r="C21" s="66" t="s">
        <v>15</v>
      </c>
      <c r="D21" s="10" t="s">
        <v>144</v>
      </c>
      <c r="E21" s="8"/>
      <c r="F21" s="212">
        <v>0</v>
      </c>
      <c r="H21" s="202" t="s">
        <v>176</v>
      </c>
      <c r="I21" s="195" t="s">
        <v>13</v>
      </c>
      <c r="J21" s="186" t="s">
        <v>200</v>
      </c>
      <c r="K21" s="186"/>
      <c r="L21" s="295">
        <f>SUM(L20)</f>
        <v>949</v>
      </c>
    </row>
    <row r="22" spans="2:13" x14ac:dyDescent="0.25">
      <c r="B22" s="569"/>
      <c r="C22" s="66" t="s">
        <v>16</v>
      </c>
      <c r="D22" s="10" t="s">
        <v>200</v>
      </c>
      <c r="E22" s="8"/>
      <c r="F22" s="212">
        <v>949</v>
      </c>
      <c r="G22" t="s">
        <v>202</v>
      </c>
      <c r="H22" s="570" t="s">
        <v>173</v>
      </c>
      <c r="I22" s="74" t="s">
        <v>219</v>
      </c>
      <c r="J22" s="112" t="s">
        <v>200</v>
      </c>
      <c r="K22" s="199">
        <f>E24</f>
        <v>0.15</v>
      </c>
      <c r="L22" s="78">
        <f>K22*L21</f>
        <v>142.35</v>
      </c>
    </row>
    <row r="23" spans="2:13" ht="15.75" thickBot="1" x14ac:dyDescent="0.3">
      <c r="B23" s="205" t="s">
        <v>176</v>
      </c>
      <c r="C23" s="195" t="s">
        <v>13</v>
      </c>
      <c r="D23" s="186" t="s">
        <v>200</v>
      </c>
      <c r="E23" s="187"/>
      <c r="F23" s="188">
        <f>SUM(F22)</f>
        <v>949</v>
      </c>
      <c r="H23" s="567"/>
      <c r="I23" s="66" t="s">
        <v>220</v>
      </c>
      <c r="J23" s="10" t="s">
        <v>200</v>
      </c>
      <c r="K23" s="176">
        <v>0.05</v>
      </c>
      <c r="L23" s="67">
        <f>K23*L21</f>
        <v>47.45</v>
      </c>
    </row>
    <row r="24" spans="2:13" x14ac:dyDescent="0.25">
      <c r="B24" s="568" t="s">
        <v>173</v>
      </c>
      <c r="C24" s="198" t="s">
        <v>201</v>
      </c>
      <c r="D24" s="143" t="s">
        <v>200</v>
      </c>
      <c r="E24" s="191">
        <v>0.15</v>
      </c>
      <c r="F24" s="192">
        <f>E24*F23</f>
        <v>142.35</v>
      </c>
      <c r="H24" s="567"/>
      <c r="I24" s="66" t="s">
        <v>18</v>
      </c>
      <c r="J24" s="10" t="s">
        <v>200</v>
      </c>
      <c r="K24" s="10">
        <v>110</v>
      </c>
      <c r="L24" s="185">
        <f>K24</f>
        <v>110</v>
      </c>
    </row>
    <row r="25" spans="2:13" x14ac:dyDescent="0.25">
      <c r="B25" s="569"/>
      <c r="C25" s="66" t="s">
        <v>17</v>
      </c>
      <c r="D25" s="10" t="s">
        <v>200</v>
      </c>
      <c r="E25" s="176">
        <v>0.05</v>
      </c>
      <c r="F25" s="67">
        <f>E25*F23</f>
        <v>47.45</v>
      </c>
      <c r="H25" s="567"/>
      <c r="I25" s="66" t="s">
        <v>21</v>
      </c>
      <c r="J25" s="10" t="s">
        <v>200</v>
      </c>
      <c r="K25" s="176">
        <v>0.05</v>
      </c>
      <c r="L25" s="67">
        <f>K25*L21</f>
        <v>47.45</v>
      </c>
    </row>
    <row r="26" spans="2:13" ht="15.75" thickBot="1" x14ac:dyDescent="0.3">
      <c r="B26" s="569"/>
      <c r="C26" s="66" t="s">
        <v>18</v>
      </c>
      <c r="D26" s="10" t="s">
        <v>200</v>
      </c>
      <c r="E26" s="10">
        <v>110</v>
      </c>
      <c r="F26" s="185">
        <f>E26</f>
        <v>110</v>
      </c>
      <c r="H26" s="202" t="s">
        <v>177</v>
      </c>
      <c r="I26" s="195" t="s">
        <v>13</v>
      </c>
      <c r="J26" s="186" t="s">
        <v>200</v>
      </c>
      <c r="K26" s="186"/>
      <c r="L26" s="295">
        <f>SUM(L22:L25)</f>
        <v>347.25</v>
      </c>
    </row>
    <row r="27" spans="2:13" x14ac:dyDescent="0.25">
      <c r="B27" s="569"/>
      <c r="C27" s="66" t="s">
        <v>19</v>
      </c>
      <c r="D27" s="10" t="s">
        <v>200</v>
      </c>
      <c r="E27" s="178">
        <v>4.4999999999999998E-2</v>
      </c>
      <c r="F27" s="67">
        <f>E27*F23</f>
        <v>42.704999999999998</v>
      </c>
      <c r="H27" s="201"/>
      <c r="I27" s="194" t="s">
        <v>149</v>
      </c>
      <c r="J27" s="190" t="s">
        <v>200</v>
      </c>
      <c r="K27" s="112"/>
      <c r="L27" s="298">
        <f>SUM(L26,L21,L17,L14)</f>
        <v>3027.1081999999997</v>
      </c>
    </row>
    <row r="28" spans="2:13" ht="15.75" thickBot="1" x14ac:dyDescent="0.3">
      <c r="B28" s="204" t="s">
        <v>177</v>
      </c>
      <c r="C28" s="227" t="s">
        <v>13</v>
      </c>
      <c r="D28" s="228" t="s">
        <v>200</v>
      </c>
      <c r="E28" s="228"/>
      <c r="F28" s="226">
        <f>SUM(F24:F27)</f>
        <v>342.505</v>
      </c>
      <c r="G28" s="2"/>
      <c r="H28" s="201"/>
      <c r="I28" s="141"/>
      <c r="J28" s="193" t="s">
        <v>150</v>
      </c>
      <c r="K28" s="110"/>
      <c r="L28" s="280">
        <f>L27/1000</f>
        <v>3.0271081999999998</v>
      </c>
    </row>
    <row r="29" spans="2:13" s="2" customFormat="1" x14ac:dyDescent="0.25">
      <c r="B29" s="203"/>
      <c r="C29" s="229" t="s">
        <v>147</v>
      </c>
      <c r="D29" s="230" t="s">
        <v>200</v>
      </c>
      <c r="E29" s="230"/>
      <c r="F29" s="232">
        <f>SUM(F28,F23,F19,F14)</f>
        <v>3103.1877199999999</v>
      </c>
      <c r="H29" s="201"/>
      <c r="I29"/>
      <c r="J29"/>
      <c r="K29"/>
      <c r="L29" s="107"/>
    </row>
    <row r="30" spans="2:13" ht="15.75" thickBot="1" x14ac:dyDescent="0.3">
      <c r="C30" s="141"/>
      <c r="D30" s="193" t="s">
        <v>150</v>
      </c>
      <c r="E30" s="193"/>
      <c r="F30" s="88">
        <f>F29/1000</f>
        <v>3.1031877199999998</v>
      </c>
      <c r="H30" s="201"/>
    </row>
    <row r="31" spans="2:13" x14ac:dyDescent="0.25">
      <c r="F31" s="107"/>
    </row>
    <row r="32" spans="2:13" x14ac:dyDescent="0.25">
      <c r="C32" t="s">
        <v>167</v>
      </c>
      <c r="D32" t="s">
        <v>168</v>
      </c>
      <c r="F32" s="57">
        <v>30000</v>
      </c>
      <c r="I32" t="s">
        <v>167</v>
      </c>
      <c r="J32" t="s">
        <v>168</v>
      </c>
      <c r="L32" s="57">
        <v>30000</v>
      </c>
    </row>
    <row r="34" spans="9:9" ht="120" x14ac:dyDescent="0.25">
      <c r="I34" s="1" t="s">
        <v>384</v>
      </c>
    </row>
  </sheetData>
  <mergeCells count="14">
    <mergeCell ref="E3:F3"/>
    <mergeCell ref="K3:L3"/>
    <mergeCell ref="E4:F4"/>
    <mergeCell ref="K4:L4"/>
    <mergeCell ref="E5:F5"/>
    <mergeCell ref="K5:L5"/>
    <mergeCell ref="B6:B13"/>
    <mergeCell ref="H6:H12"/>
    <mergeCell ref="B15:B18"/>
    <mergeCell ref="H15:H16"/>
    <mergeCell ref="H18:H20"/>
    <mergeCell ref="B20:B22"/>
    <mergeCell ref="H22:H25"/>
    <mergeCell ref="B24:B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3C4E1-4A0C-4218-B20D-CEE5F26202A5}">
  <sheetPr>
    <tabColor theme="7" tint="-0.249977111117893"/>
  </sheetPr>
  <dimension ref="B1:F26"/>
  <sheetViews>
    <sheetView topLeftCell="F1" workbookViewId="0">
      <selection activeCell="AF32" sqref="AF32"/>
    </sheetView>
  </sheetViews>
  <sheetFormatPr defaultRowHeight="15" x14ac:dyDescent="0.25"/>
  <cols>
    <col min="2" max="2" width="9.28515625" bestFit="1" customWidth="1"/>
    <col min="3" max="3" width="33.7109375" bestFit="1" customWidth="1"/>
    <col min="5" max="5" width="9.5703125" bestFit="1" customWidth="1"/>
  </cols>
  <sheetData>
    <row r="1" spans="2:6" x14ac:dyDescent="0.25">
      <c r="B1" s="35" t="s">
        <v>51</v>
      </c>
    </row>
    <row r="2" spans="2:6" ht="15.75" thickBot="1" x14ac:dyDescent="0.3"/>
    <row r="3" spans="2:6" ht="15.75" thickBot="1" x14ac:dyDescent="0.3">
      <c r="B3" s="131"/>
      <c r="C3" s="133"/>
      <c r="D3" s="132" t="s">
        <v>1</v>
      </c>
      <c r="E3" s="137"/>
    </row>
    <row r="4" spans="2:6" x14ac:dyDescent="0.25">
      <c r="B4" s="127"/>
      <c r="C4" s="134" t="s">
        <v>22</v>
      </c>
      <c r="D4" s="128" t="s">
        <v>23</v>
      </c>
      <c r="E4" s="306">
        <f>'C - Assumptions'!E3</f>
        <v>500</v>
      </c>
    </row>
    <row r="5" spans="2:6" x14ac:dyDescent="0.25">
      <c r="B5" s="127" t="s">
        <v>120</v>
      </c>
      <c r="C5" s="134" t="s">
        <v>121</v>
      </c>
      <c r="D5" s="128" t="s">
        <v>118</v>
      </c>
      <c r="E5" s="160">
        <f>'C - Assumptions'!E23</f>
        <v>2361.8200000000002</v>
      </c>
    </row>
    <row r="6" spans="2:6" x14ac:dyDescent="0.25">
      <c r="B6" s="127" t="s">
        <v>122</v>
      </c>
      <c r="C6" s="134" t="s">
        <v>123</v>
      </c>
      <c r="D6" s="128" t="s">
        <v>25</v>
      </c>
      <c r="E6" s="138">
        <f>'C - Assumptions'!E5</f>
        <v>5.7500000000000002E-2</v>
      </c>
    </row>
    <row r="7" spans="2:6" x14ac:dyDescent="0.25">
      <c r="B7" s="127" t="s">
        <v>124</v>
      </c>
      <c r="C7" s="134" t="s">
        <v>125</v>
      </c>
      <c r="D7" s="128" t="s">
        <v>119</v>
      </c>
      <c r="E7" s="139">
        <f>'C - Assumptions'!E27</f>
        <v>0.5</v>
      </c>
    </row>
    <row r="8" spans="2:6" x14ac:dyDescent="0.25">
      <c r="B8" s="127" t="s">
        <v>126</v>
      </c>
      <c r="C8" s="134" t="s">
        <v>127</v>
      </c>
      <c r="D8" s="128" t="s">
        <v>128</v>
      </c>
      <c r="E8" s="159">
        <f>'C - Assumptions'!E22</f>
        <v>9.8439775000000012</v>
      </c>
    </row>
    <row r="9" spans="2:6" x14ac:dyDescent="0.25">
      <c r="B9" s="127" t="s">
        <v>129</v>
      </c>
      <c r="C9" s="134" t="s">
        <v>130</v>
      </c>
      <c r="D9" s="128" t="s">
        <v>131</v>
      </c>
      <c r="E9" s="159">
        <f>'C - Assumptions'!E21</f>
        <v>3850</v>
      </c>
    </row>
    <row r="10" spans="2:6" x14ac:dyDescent="0.25">
      <c r="B10" s="127" t="s">
        <v>132</v>
      </c>
      <c r="C10" s="134" t="s">
        <v>139</v>
      </c>
      <c r="D10" s="128" t="s">
        <v>133</v>
      </c>
      <c r="E10" s="160">
        <f>'C_D - VC'!F30</f>
        <v>3.1031877199999998</v>
      </c>
      <c r="F10" t="s">
        <v>196</v>
      </c>
    </row>
    <row r="11" spans="2:6" ht="15.75" thickBot="1" x14ac:dyDescent="0.3">
      <c r="B11" s="127" t="s">
        <v>134</v>
      </c>
      <c r="C11" s="134" t="s">
        <v>140</v>
      </c>
      <c r="D11" s="128" t="s">
        <v>135</v>
      </c>
      <c r="E11" s="160">
        <f>'C_D - VC'!F32/1000</f>
        <v>30</v>
      </c>
    </row>
    <row r="12" spans="2:6" ht="15.75" thickBot="1" x14ac:dyDescent="0.3">
      <c r="B12" s="129" t="s">
        <v>136</v>
      </c>
      <c r="C12" s="135" t="s">
        <v>137</v>
      </c>
      <c r="D12" s="130" t="s">
        <v>138</v>
      </c>
      <c r="E12" s="140">
        <f>(((E5-(E7*E8))*E10)/(E9+(E7*E11)))*(100)/(100-E6)</f>
        <v>1.893429463417124</v>
      </c>
    </row>
    <row r="14" spans="2:6" s="24" customFormat="1" x14ac:dyDescent="0.25"/>
    <row r="15" spans="2:6" ht="15.75" thickBot="1" x14ac:dyDescent="0.3">
      <c r="B15" s="35" t="s">
        <v>52</v>
      </c>
    </row>
    <row r="16" spans="2:6" ht="15.75" thickBot="1" x14ac:dyDescent="0.3">
      <c r="C16" s="310" t="s">
        <v>1</v>
      </c>
    </row>
    <row r="17" spans="2:6" ht="15.75" thickBot="1" x14ac:dyDescent="0.3">
      <c r="B17" s="131"/>
      <c r="C17" s="133"/>
      <c r="D17" s="132" t="s">
        <v>1</v>
      </c>
      <c r="E17" s="137"/>
    </row>
    <row r="18" spans="2:6" x14ac:dyDescent="0.25">
      <c r="B18" s="127"/>
      <c r="C18" s="134" t="s">
        <v>22</v>
      </c>
      <c r="D18" s="128" t="s">
        <v>23</v>
      </c>
      <c r="E18" s="306">
        <f>'C - Assumptions'!F3</f>
        <v>500</v>
      </c>
    </row>
    <row r="19" spans="2:6" x14ac:dyDescent="0.25">
      <c r="B19" s="127" t="s">
        <v>120</v>
      </c>
      <c r="C19" s="134" t="s">
        <v>121</v>
      </c>
      <c r="D19" s="128" t="s">
        <v>118</v>
      </c>
      <c r="E19" s="160">
        <v>2361.8200000000002</v>
      </c>
    </row>
    <row r="20" spans="2:6" x14ac:dyDescent="0.25">
      <c r="B20" s="127" t="s">
        <v>122</v>
      </c>
      <c r="C20" s="134" t="s">
        <v>123</v>
      </c>
      <c r="D20" s="128" t="s">
        <v>25</v>
      </c>
      <c r="E20" s="138">
        <f>'C - Assumptions'!F5</f>
        <v>5.7500000000000002E-2</v>
      </c>
    </row>
    <row r="21" spans="2:6" x14ac:dyDescent="0.25">
      <c r="B21" s="127" t="s">
        <v>124</v>
      </c>
      <c r="C21" s="134" t="s">
        <v>125</v>
      </c>
      <c r="D21" s="128" t="s">
        <v>119</v>
      </c>
      <c r="E21" s="139">
        <f>'C - Assumptions'!F27</f>
        <v>0.5</v>
      </c>
    </row>
    <row r="22" spans="2:6" x14ac:dyDescent="0.25">
      <c r="B22" s="127" t="s">
        <v>126</v>
      </c>
      <c r="C22" s="134" t="s">
        <v>127</v>
      </c>
      <c r="D22" s="128" t="s">
        <v>128</v>
      </c>
      <c r="E22" s="159">
        <f>'C - Assumptions'!F22</f>
        <v>9.8439775000000012</v>
      </c>
    </row>
    <row r="23" spans="2:6" x14ac:dyDescent="0.25">
      <c r="B23" s="127" t="s">
        <v>129</v>
      </c>
      <c r="C23" s="134" t="s">
        <v>130</v>
      </c>
      <c r="D23" s="128" t="s">
        <v>131</v>
      </c>
      <c r="E23" s="159">
        <f>'C - Assumptions'!F21</f>
        <v>3850</v>
      </c>
    </row>
    <row r="24" spans="2:6" x14ac:dyDescent="0.25">
      <c r="B24" s="127" t="s">
        <v>132</v>
      </c>
      <c r="C24" s="134" t="s">
        <v>139</v>
      </c>
      <c r="D24" s="128" t="s">
        <v>133</v>
      </c>
      <c r="E24" s="160">
        <f>'C_D - VC'!L28</f>
        <v>3.0271081999999998</v>
      </c>
      <c r="F24" t="s">
        <v>196</v>
      </c>
    </row>
    <row r="25" spans="2:6" ht="15.75" thickBot="1" x14ac:dyDescent="0.3">
      <c r="B25" s="127" t="s">
        <v>134</v>
      </c>
      <c r="C25" s="134" t="s">
        <v>140</v>
      </c>
      <c r="D25" s="128" t="s">
        <v>135</v>
      </c>
      <c r="E25" s="160">
        <f>'C_D - VC'!L32/1000</f>
        <v>30</v>
      </c>
    </row>
    <row r="26" spans="2:6" ht="15.75" thickBot="1" x14ac:dyDescent="0.3">
      <c r="B26" s="129" t="s">
        <v>136</v>
      </c>
      <c r="C26" s="135" t="s">
        <v>137</v>
      </c>
      <c r="D26" s="130" t="s">
        <v>138</v>
      </c>
      <c r="E26" s="140">
        <f>(((E19-(E21*E22))*E24)/(E23+(E21*E25)))*(100)/(100-E20)</f>
        <v>1.8470090668029508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0B8C-1757-4FCE-803E-7B2C305F84F8}">
  <sheetPr>
    <tabColor theme="7" tint="-0.249977111117893"/>
  </sheetPr>
  <dimension ref="B1:O40"/>
  <sheetViews>
    <sheetView topLeftCell="K2" zoomScale="79" workbookViewId="0">
      <selection activeCell="I39" sqref="A1:XFD1048576"/>
    </sheetView>
  </sheetViews>
  <sheetFormatPr defaultRowHeight="15" x14ac:dyDescent="0.25"/>
  <cols>
    <col min="1" max="1" width="5" customWidth="1"/>
    <col min="2" max="2" width="17.85546875" style="203" customWidth="1"/>
    <col min="3" max="3" width="32" bestFit="1" customWidth="1"/>
    <col min="4" max="4" width="14.7109375" bestFit="1" customWidth="1"/>
    <col min="5" max="5" width="7.7109375" bestFit="1" customWidth="1"/>
    <col min="6" max="6" width="11.28515625" bestFit="1" customWidth="1"/>
    <col min="7" max="7" width="11.5703125" style="57" bestFit="1" customWidth="1"/>
    <col min="8" max="8" width="26.140625" bestFit="1" customWidth="1"/>
    <col min="9" max="9" width="17.7109375" style="1" customWidth="1"/>
    <col min="10" max="10" width="32" bestFit="1" customWidth="1"/>
    <col min="11" max="11" width="14.7109375" bestFit="1" customWidth="1"/>
    <col min="12" max="12" width="6" bestFit="1" customWidth="1"/>
    <col min="13" max="13" width="11.28515625" bestFit="1" customWidth="1"/>
    <col min="14" max="14" width="13.140625" bestFit="1" customWidth="1"/>
    <col min="15" max="15" width="10.28515625" customWidth="1"/>
    <col min="16" max="16" width="25.7109375" bestFit="1" customWidth="1"/>
  </cols>
  <sheetData>
    <row r="1" spans="2:15" ht="15.75" thickBot="1" x14ac:dyDescent="0.3"/>
    <row r="2" spans="2:15" ht="15.75" thickBot="1" x14ac:dyDescent="0.3">
      <c r="C2" s="179"/>
      <c r="D2" s="180" t="s">
        <v>4</v>
      </c>
      <c r="E2" s="180" t="s">
        <v>20</v>
      </c>
      <c r="F2" s="180" t="s">
        <v>205</v>
      </c>
      <c r="G2" s="215" t="s">
        <v>206</v>
      </c>
      <c r="H2" s="2"/>
      <c r="I2" s="201"/>
      <c r="J2" s="179"/>
      <c r="K2" s="180" t="s">
        <v>4</v>
      </c>
      <c r="L2" s="180" t="s">
        <v>20</v>
      </c>
      <c r="M2" s="180" t="s">
        <v>205</v>
      </c>
      <c r="N2" s="181" t="s">
        <v>206</v>
      </c>
      <c r="O2" s="2"/>
    </row>
    <row r="3" spans="2:15" x14ac:dyDescent="0.25">
      <c r="C3" s="198" t="s">
        <v>148</v>
      </c>
      <c r="D3" s="143"/>
      <c r="E3" s="583" t="s">
        <v>198</v>
      </c>
      <c r="F3" s="583"/>
      <c r="G3" s="216"/>
      <c r="I3" s="201"/>
      <c r="J3" s="74" t="s">
        <v>148</v>
      </c>
      <c r="K3" s="112"/>
      <c r="L3" s="583" t="str">
        <f>E3</f>
        <v>G11</v>
      </c>
      <c r="M3" s="583"/>
      <c r="N3" s="208"/>
      <c r="O3" s="251"/>
    </row>
    <row r="4" spans="2:15" x14ac:dyDescent="0.25">
      <c r="C4" s="66" t="s">
        <v>6</v>
      </c>
      <c r="D4" s="10" t="s">
        <v>131</v>
      </c>
      <c r="E4" s="573" t="s">
        <v>199</v>
      </c>
      <c r="F4" s="573"/>
      <c r="G4" s="217" t="s">
        <v>209</v>
      </c>
      <c r="I4" s="201"/>
      <c r="J4" s="66" t="s">
        <v>6</v>
      </c>
      <c r="K4" s="10" t="s">
        <v>131</v>
      </c>
      <c r="L4" s="573" t="str">
        <f>E4</f>
        <v>4000 to 4300</v>
      </c>
      <c r="M4" s="573"/>
      <c r="N4" s="233" t="str">
        <f>G4</f>
        <v>4200 GAR</v>
      </c>
      <c r="O4" s="252"/>
    </row>
    <row r="5" spans="2:15" ht="15.75" thickBot="1" x14ac:dyDescent="0.3">
      <c r="C5" s="141" t="s">
        <v>207</v>
      </c>
      <c r="D5" s="110"/>
      <c r="E5" s="110"/>
      <c r="F5" s="221">
        <v>70</v>
      </c>
      <c r="G5" s="220">
        <f>100-F5</f>
        <v>30</v>
      </c>
      <c r="I5" s="201"/>
      <c r="J5" s="196" t="s">
        <v>207</v>
      </c>
      <c r="K5" s="153"/>
      <c r="L5" s="110"/>
      <c r="M5" s="221">
        <f>F5</f>
        <v>70</v>
      </c>
      <c r="N5" s="257">
        <f>G5</f>
        <v>30</v>
      </c>
      <c r="O5" s="12"/>
    </row>
    <row r="6" spans="2:15" x14ac:dyDescent="0.25">
      <c r="B6" s="586" t="s">
        <v>7</v>
      </c>
      <c r="C6" s="584" t="s">
        <v>7</v>
      </c>
      <c r="D6" s="143" t="s">
        <v>208</v>
      </c>
      <c r="E6" s="183"/>
      <c r="F6" s="209"/>
      <c r="G6" s="218">
        <v>51.5</v>
      </c>
      <c r="H6" t="s">
        <v>203</v>
      </c>
      <c r="I6" s="563" t="s">
        <v>7</v>
      </c>
      <c r="J6" s="584" t="s">
        <v>7</v>
      </c>
      <c r="K6" s="143" t="s">
        <v>208</v>
      </c>
      <c r="L6" s="183"/>
      <c r="M6" s="209"/>
      <c r="N6" s="218">
        <f>G6</f>
        <v>51.5</v>
      </c>
      <c r="O6" s="249"/>
    </row>
    <row r="7" spans="2:15" x14ac:dyDescent="0.25">
      <c r="B7" s="587"/>
      <c r="C7" s="585"/>
      <c r="D7" s="112" t="s">
        <v>200</v>
      </c>
      <c r="E7" s="182"/>
      <c r="F7" s="214">
        <v>955</v>
      </c>
      <c r="G7" s="219">
        <f>G6/'Exchange Rate'!C7</f>
        <v>3319.0414846473022</v>
      </c>
      <c r="I7" s="564"/>
      <c r="J7" s="585"/>
      <c r="K7" s="112" t="s">
        <v>200</v>
      </c>
      <c r="L7" s="182"/>
      <c r="M7" s="214">
        <f>F7</f>
        <v>955</v>
      </c>
      <c r="N7" s="219">
        <f>N6/'Exchange Rate'!C7</f>
        <v>3319.0414846473022</v>
      </c>
      <c r="O7" s="249"/>
    </row>
    <row r="8" spans="2:15" x14ac:dyDescent="0.25">
      <c r="B8" s="587"/>
      <c r="C8" s="66" t="s">
        <v>8</v>
      </c>
      <c r="D8" s="10" t="s">
        <v>200</v>
      </c>
      <c r="E8" s="10">
        <v>79</v>
      </c>
      <c r="F8" s="207">
        <f>E8</f>
        <v>79</v>
      </c>
      <c r="G8" s="67">
        <v>0</v>
      </c>
      <c r="H8" s="175"/>
      <c r="I8" s="564"/>
      <c r="J8" s="66" t="s">
        <v>8</v>
      </c>
      <c r="K8" s="10" t="s">
        <v>200</v>
      </c>
      <c r="L8" s="10">
        <v>79</v>
      </c>
      <c r="M8" s="207">
        <f>L8</f>
        <v>79</v>
      </c>
      <c r="N8" s="185">
        <v>0</v>
      </c>
      <c r="O8" s="253"/>
    </row>
    <row r="9" spans="2:15" x14ac:dyDescent="0.25">
      <c r="B9" s="587"/>
      <c r="C9" s="66" t="s">
        <v>9</v>
      </c>
      <c r="D9" s="10" t="s">
        <v>200</v>
      </c>
      <c r="E9" s="10">
        <v>57</v>
      </c>
      <c r="F9" s="207">
        <f>E9</f>
        <v>57</v>
      </c>
      <c r="G9" s="67">
        <v>0</v>
      </c>
      <c r="I9" s="564"/>
      <c r="J9" s="66" t="s">
        <v>9</v>
      </c>
      <c r="K9" s="10" t="s">
        <v>200</v>
      </c>
      <c r="L9" s="10">
        <v>57</v>
      </c>
      <c r="M9" s="207">
        <f>L9</f>
        <v>57</v>
      </c>
      <c r="N9" s="185">
        <v>0</v>
      </c>
      <c r="O9" s="253"/>
    </row>
    <row r="10" spans="2:15" x14ac:dyDescent="0.25">
      <c r="B10" s="587"/>
      <c r="C10" s="66" t="s">
        <v>10</v>
      </c>
      <c r="D10" s="10" t="s">
        <v>200</v>
      </c>
      <c r="E10" s="176">
        <v>0.14000000000000001</v>
      </c>
      <c r="F10" s="63">
        <f>$E$10*F7</f>
        <v>133.70000000000002</v>
      </c>
      <c r="G10" s="67">
        <v>0</v>
      </c>
      <c r="I10" s="564"/>
      <c r="J10" s="66" t="s">
        <v>10</v>
      </c>
      <c r="K10" s="10" t="s">
        <v>200</v>
      </c>
      <c r="L10" s="176">
        <v>0.14000000000000001</v>
      </c>
      <c r="M10" s="63">
        <f>L10*M7</f>
        <v>133.70000000000002</v>
      </c>
      <c r="N10" s="67">
        <v>0</v>
      </c>
      <c r="O10" s="57"/>
    </row>
    <row r="11" spans="2:15" x14ac:dyDescent="0.25">
      <c r="B11" s="587"/>
      <c r="C11" s="196" t="s">
        <v>145</v>
      </c>
      <c r="D11" s="153" t="s">
        <v>200</v>
      </c>
      <c r="E11" s="240">
        <v>0.3</v>
      </c>
      <c r="F11" s="241">
        <f>$E11*$F$10</f>
        <v>40.110000000000007</v>
      </c>
      <c r="G11" s="164">
        <v>0</v>
      </c>
      <c r="I11" s="564"/>
      <c r="J11" s="66" t="s">
        <v>145</v>
      </c>
      <c r="K11" s="10" t="s">
        <v>200</v>
      </c>
      <c r="L11" s="176">
        <v>0.3</v>
      </c>
      <c r="M11" s="63">
        <f>L11*M10</f>
        <v>40.110000000000007</v>
      </c>
      <c r="N11" s="67">
        <v>0</v>
      </c>
      <c r="O11" s="57"/>
    </row>
    <row r="12" spans="2:15" x14ac:dyDescent="0.25">
      <c r="B12" s="587"/>
      <c r="C12" s="66" t="s">
        <v>146</v>
      </c>
      <c r="D12" s="10" t="s">
        <v>200</v>
      </c>
      <c r="E12" s="176">
        <v>0.02</v>
      </c>
      <c r="F12" s="63">
        <f>$E12*$F$10</f>
        <v>2.6740000000000004</v>
      </c>
      <c r="G12" s="67">
        <v>0</v>
      </c>
      <c r="I12" s="564"/>
      <c r="J12" s="66" t="s">
        <v>146</v>
      </c>
      <c r="K12" s="10" t="s">
        <v>200</v>
      </c>
      <c r="L12" s="176">
        <v>0.02</v>
      </c>
      <c r="M12" s="63">
        <f>L12*M10</f>
        <v>2.6740000000000004</v>
      </c>
      <c r="N12" s="67">
        <v>0</v>
      </c>
      <c r="O12" s="57"/>
    </row>
    <row r="13" spans="2:15" x14ac:dyDescent="0.25">
      <c r="B13" s="587"/>
      <c r="C13" s="66" t="s">
        <v>12</v>
      </c>
      <c r="D13" s="10" t="s">
        <v>200</v>
      </c>
      <c r="E13" s="10">
        <v>10</v>
      </c>
      <c r="F13" s="207">
        <f>E13</f>
        <v>10</v>
      </c>
      <c r="G13" s="67">
        <v>0</v>
      </c>
      <c r="I13" s="564"/>
      <c r="J13" s="66" t="s">
        <v>12</v>
      </c>
      <c r="K13" s="10" t="s">
        <v>200</v>
      </c>
      <c r="L13" s="63">
        <v>0</v>
      </c>
      <c r="M13" s="207">
        <f>L13</f>
        <v>0</v>
      </c>
      <c r="N13" s="185">
        <v>0</v>
      </c>
      <c r="O13" s="253"/>
    </row>
    <row r="14" spans="2:15" x14ac:dyDescent="0.25">
      <c r="B14" s="570"/>
      <c r="C14" s="66" t="s">
        <v>204</v>
      </c>
      <c r="D14" s="10" t="s">
        <v>200</v>
      </c>
      <c r="E14" s="10">
        <v>400</v>
      </c>
      <c r="F14" s="207">
        <f>E14</f>
        <v>400</v>
      </c>
      <c r="G14" s="67">
        <f>F14</f>
        <v>400</v>
      </c>
      <c r="I14" s="565"/>
      <c r="J14" s="196"/>
      <c r="K14" s="153"/>
      <c r="L14" s="153"/>
      <c r="M14" s="238"/>
      <c r="N14" s="239"/>
      <c r="O14" s="253"/>
    </row>
    <row r="15" spans="2:15" ht="15.75" thickBot="1" x14ac:dyDescent="0.3">
      <c r="B15" s="247" t="s">
        <v>174</v>
      </c>
      <c r="C15" s="242" t="s">
        <v>13</v>
      </c>
      <c r="D15" s="243" t="s">
        <v>200</v>
      </c>
      <c r="E15" s="244"/>
      <c r="F15" s="245">
        <f>SUM(F6:F14)</f>
        <v>1677.4839999999999</v>
      </c>
      <c r="G15" s="246">
        <f>SUM(G7:G14)</f>
        <v>3719.0414846473022</v>
      </c>
      <c r="H15" s="107"/>
      <c r="I15" s="202" t="s">
        <v>174</v>
      </c>
      <c r="J15" s="195" t="s">
        <v>13</v>
      </c>
      <c r="K15" s="186" t="s">
        <v>200</v>
      </c>
      <c r="L15" s="187"/>
      <c r="M15" s="210">
        <f>SUM(M6:M13)</f>
        <v>1267.4839999999999</v>
      </c>
      <c r="N15" s="188">
        <f>SUM(N7:N13)</f>
        <v>3319.0414846473022</v>
      </c>
      <c r="O15" s="248"/>
    </row>
    <row r="16" spans="2:15" x14ac:dyDescent="0.25">
      <c r="B16" s="568" t="s">
        <v>171</v>
      </c>
      <c r="C16" s="198"/>
      <c r="D16" s="143"/>
      <c r="E16" s="143"/>
      <c r="F16" s="211"/>
      <c r="G16" s="192"/>
      <c r="I16" s="570" t="s">
        <v>171</v>
      </c>
      <c r="J16" s="74" t="s">
        <v>217</v>
      </c>
      <c r="K16" s="112" t="s">
        <v>200</v>
      </c>
      <c r="L16" s="143">
        <v>400</v>
      </c>
      <c r="M16" s="211">
        <f>L16</f>
        <v>400</v>
      </c>
      <c r="N16" s="189">
        <f>M16</f>
        <v>400</v>
      </c>
      <c r="O16" s="253"/>
    </row>
    <row r="17" spans="2:15" x14ac:dyDescent="0.25">
      <c r="B17" s="565"/>
      <c r="C17" s="74" t="s">
        <v>212</v>
      </c>
      <c r="D17" s="112"/>
      <c r="E17" s="224">
        <v>0.1</v>
      </c>
      <c r="F17" s="223">
        <v>0</v>
      </c>
      <c r="G17" s="78">
        <f>E17*G15</f>
        <v>371.90414846473027</v>
      </c>
      <c r="I17" s="570"/>
      <c r="J17" s="74" t="s">
        <v>218</v>
      </c>
      <c r="K17" s="112"/>
      <c r="L17" s="199">
        <v>0.1</v>
      </c>
      <c r="M17" s="223">
        <v>0</v>
      </c>
      <c r="N17" s="197">
        <f>L17*N15</f>
        <v>331.90414846473027</v>
      </c>
      <c r="O17" s="253"/>
    </row>
    <row r="18" spans="2:15" x14ac:dyDescent="0.25">
      <c r="B18" s="565"/>
      <c r="C18" s="74" t="s">
        <v>213</v>
      </c>
      <c r="D18" s="112"/>
      <c r="E18" s="255">
        <v>0.02</v>
      </c>
      <c r="F18" s="223">
        <v>0</v>
      </c>
      <c r="G18" s="78">
        <f>E18*G15</f>
        <v>74.380829692946051</v>
      </c>
      <c r="I18" s="570"/>
      <c r="J18" s="74" t="s">
        <v>214</v>
      </c>
      <c r="K18" s="112"/>
      <c r="L18" s="199">
        <v>0.05</v>
      </c>
      <c r="M18" s="77">
        <f>L18*M15</f>
        <v>63.374200000000002</v>
      </c>
      <c r="N18" s="197">
        <f>L18*N15</f>
        <v>165.95207423236513</v>
      </c>
      <c r="O18" s="253"/>
    </row>
    <row r="19" spans="2:15" x14ac:dyDescent="0.25">
      <c r="B19" s="569"/>
      <c r="C19" s="66" t="s">
        <v>11</v>
      </c>
      <c r="D19" s="10" t="s">
        <v>200</v>
      </c>
      <c r="E19" s="256">
        <v>0.06</v>
      </c>
      <c r="F19" s="63">
        <f>$E$19*F15</f>
        <v>100.64903999999999</v>
      </c>
      <c r="G19" s="67">
        <v>0</v>
      </c>
      <c r="I19" s="567"/>
      <c r="J19" s="66"/>
      <c r="K19" s="10"/>
      <c r="L19" s="176"/>
      <c r="M19" s="63"/>
      <c r="N19" s="67"/>
      <c r="O19" s="57"/>
    </row>
    <row r="20" spans="2:15" ht="15.75" thickBot="1" x14ac:dyDescent="0.3">
      <c r="B20" s="569"/>
      <c r="C20" s="66" t="s">
        <v>178</v>
      </c>
      <c r="D20" s="10" t="s">
        <v>200</v>
      </c>
      <c r="E20" s="256">
        <v>0.02</v>
      </c>
      <c r="F20" s="63">
        <f>E20*F15</f>
        <v>33.549680000000002</v>
      </c>
      <c r="G20" s="78">
        <f>E20*G15</f>
        <v>74.380829692946051</v>
      </c>
      <c r="I20" s="202" t="s">
        <v>175</v>
      </c>
      <c r="J20" s="195" t="s">
        <v>13</v>
      </c>
      <c r="K20" s="186" t="s">
        <v>200</v>
      </c>
      <c r="L20" s="187"/>
      <c r="M20" s="210">
        <f>SUM(M16:M19)</f>
        <v>463.37419999999997</v>
      </c>
      <c r="N20" s="188">
        <f>SUM(N16:N19)</f>
        <v>897.8562226970954</v>
      </c>
      <c r="O20" s="248"/>
    </row>
    <row r="21" spans="2:15" x14ac:dyDescent="0.25">
      <c r="B21" s="569"/>
      <c r="C21" s="66"/>
      <c r="D21" s="10"/>
      <c r="E21" s="256"/>
      <c r="F21" s="63"/>
      <c r="G21" s="67"/>
      <c r="I21" s="570" t="s">
        <v>172</v>
      </c>
      <c r="J21" s="74" t="s">
        <v>14</v>
      </c>
      <c r="K21" s="112" t="s">
        <v>144</v>
      </c>
      <c r="L21" s="183"/>
      <c r="M21" s="209">
        <f>'C_DI - VC'!F23</f>
        <v>533</v>
      </c>
      <c r="N21" s="218">
        <f>M21</f>
        <v>533</v>
      </c>
      <c r="O21" s="249"/>
    </row>
    <row r="22" spans="2:15" ht="15.75" thickBot="1" x14ac:dyDescent="0.3">
      <c r="B22" s="204" t="s">
        <v>175</v>
      </c>
      <c r="C22" s="195" t="s">
        <v>13</v>
      </c>
      <c r="D22" s="186" t="s">
        <v>200</v>
      </c>
      <c r="E22" s="187"/>
      <c r="F22" s="210">
        <f>SUM(F16:F21)</f>
        <v>134.19871999999998</v>
      </c>
      <c r="G22" s="188">
        <f>SUM(G16:G21)</f>
        <v>520.6658078506224</v>
      </c>
      <c r="I22" s="567"/>
      <c r="J22" s="66" t="s">
        <v>15</v>
      </c>
      <c r="K22" s="10" t="s">
        <v>144</v>
      </c>
      <c r="L22" s="8"/>
      <c r="M22" s="177">
        <f>'C_DI - VC'!F24</f>
        <v>0</v>
      </c>
      <c r="N22" s="212">
        <f>M22</f>
        <v>0</v>
      </c>
      <c r="O22" s="249"/>
    </row>
    <row r="23" spans="2:15" x14ac:dyDescent="0.25">
      <c r="B23" s="565" t="s">
        <v>172</v>
      </c>
      <c r="C23" s="198" t="s">
        <v>14</v>
      </c>
      <c r="D23" s="143" t="s">
        <v>144</v>
      </c>
      <c r="E23" s="183"/>
      <c r="F23" s="209">
        <v>533</v>
      </c>
      <c r="G23" s="184">
        <f>F23</f>
        <v>533</v>
      </c>
      <c r="I23" s="567"/>
      <c r="J23" s="66" t="s">
        <v>16</v>
      </c>
      <c r="K23" s="10" t="s">
        <v>200</v>
      </c>
      <c r="L23" s="8"/>
      <c r="M23" s="177">
        <f>F25</f>
        <v>949</v>
      </c>
      <c r="N23" s="212">
        <f>M23</f>
        <v>949</v>
      </c>
      <c r="O23" t="s">
        <v>202</v>
      </c>
    </row>
    <row r="24" spans="2:15" ht="15.75" thickBot="1" x14ac:dyDescent="0.3">
      <c r="B24" s="569"/>
      <c r="C24" s="66" t="s">
        <v>15</v>
      </c>
      <c r="D24" s="10" t="s">
        <v>144</v>
      </c>
      <c r="E24" s="8"/>
      <c r="F24" s="177">
        <v>0</v>
      </c>
      <c r="G24" s="212">
        <f>F24</f>
        <v>0</v>
      </c>
      <c r="I24" s="202" t="s">
        <v>176</v>
      </c>
      <c r="J24" s="195" t="s">
        <v>13</v>
      </c>
      <c r="K24" s="186" t="s">
        <v>200</v>
      </c>
      <c r="L24" s="187"/>
      <c r="M24" s="210">
        <f>SUM(M23)</f>
        <v>949</v>
      </c>
      <c r="N24" s="188">
        <f>SUM(N23)</f>
        <v>949</v>
      </c>
      <c r="O24" s="248"/>
    </row>
    <row r="25" spans="2:15" x14ac:dyDescent="0.25">
      <c r="B25" s="569"/>
      <c r="C25" s="66" t="s">
        <v>16</v>
      </c>
      <c r="D25" s="10" t="s">
        <v>200</v>
      </c>
      <c r="E25" s="8"/>
      <c r="F25" s="177">
        <v>949</v>
      </c>
      <c r="G25" s="212">
        <f>F25</f>
        <v>949</v>
      </c>
      <c r="H25" t="s">
        <v>202</v>
      </c>
      <c r="I25" s="570" t="s">
        <v>173</v>
      </c>
      <c r="J25" s="198" t="s">
        <v>215</v>
      </c>
      <c r="K25" s="143" t="s">
        <v>200</v>
      </c>
      <c r="L25" s="254">
        <f>E27</f>
        <v>0.15</v>
      </c>
      <c r="M25" s="213">
        <f>L25*M23</f>
        <v>142.35</v>
      </c>
      <c r="N25" s="192">
        <f>M25</f>
        <v>142.35</v>
      </c>
      <c r="O25" s="57"/>
    </row>
    <row r="26" spans="2:15" ht="15.75" thickBot="1" x14ac:dyDescent="0.3">
      <c r="B26" s="205" t="s">
        <v>176</v>
      </c>
      <c r="C26" s="195" t="s">
        <v>13</v>
      </c>
      <c r="D26" s="186" t="s">
        <v>200</v>
      </c>
      <c r="E26" s="187"/>
      <c r="F26" s="210">
        <f>SUM(F25)</f>
        <v>949</v>
      </c>
      <c r="G26" s="188">
        <f>SUM(G25)</f>
        <v>949</v>
      </c>
      <c r="I26" s="567"/>
      <c r="J26" s="66" t="s">
        <v>216</v>
      </c>
      <c r="K26" s="10" t="s">
        <v>200</v>
      </c>
      <c r="L26" s="222">
        <v>0.05</v>
      </c>
      <c r="M26" s="63">
        <f>L26*M24</f>
        <v>47.45</v>
      </c>
      <c r="N26" s="67">
        <f>L26*N24</f>
        <v>47.45</v>
      </c>
      <c r="O26" s="57"/>
    </row>
    <row r="27" spans="2:15" x14ac:dyDescent="0.25">
      <c r="B27" s="568" t="s">
        <v>173</v>
      </c>
      <c r="C27" s="198" t="s">
        <v>201</v>
      </c>
      <c r="D27" s="143" t="s">
        <v>200</v>
      </c>
      <c r="E27" s="191">
        <v>0.15</v>
      </c>
      <c r="F27" s="213">
        <f>E27*F26</f>
        <v>142.35</v>
      </c>
      <c r="G27" s="192">
        <f>E27*G26</f>
        <v>142.35</v>
      </c>
      <c r="I27" s="567"/>
      <c r="J27" s="66" t="s">
        <v>18</v>
      </c>
      <c r="K27" s="10" t="s">
        <v>200</v>
      </c>
      <c r="L27" s="207">
        <v>110</v>
      </c>
      <c r="M27" s="207">
        <f>L27</f>
        <v>110</v>
      </c>
      <c r="N27" s="185">
        <f>L27</f>
        <v>110</v>
      </c>
      <c r="O27" s="253"/>
    </row>
    <row r="28" spans="2:15" x14ac:dyDescent="0.25">
      <c r="B28" s="569"/>
      <c r="C28" s="66" t="s">
        <v>17</v>
      </c>
      <c r="D28" s="10" t="s">
        <v>200</v>
      </c>
      <c r="E28" s="176">
        <v>0.05</v>
      </c>
      <c r="F28" s="63">
        <f>E28*F26</f>
        <v>47.45</v>
      </c>
      <c r="G28" s="67">
        <f>E28*G26</f>
        <v>47.45</v>
      </c>
      <c r="I28" s="567"/>
      <c r="J28" s="66" t="s">
        <v>21</v>
      </c>
      <c r="K28" s="10" t="s">
        <v>200</v>
      </c>
      <c r="L28" s="222">
        <v>0.05</v>
      </c>
      <c r="M28" s="63">
        <f>L28*M24</f>
        <v>47.45</v>
      </c>
      <c r="N28" s="67">
        <f>L28*N24</f>
        <v>47.45</v>
      </c>
      <c r="O28" s="57"/>
    </row>
    <row r="29" spans="2:15" ht="15.75" thickBot="1" x14ac:dyDescent="0.3">
      <c r="B29" s="569"/>
      <c r="C29" s="66" t="s">
        <v>18</v>
      </c>
      <c r="D29" s="10" t="s">
        <v>200</v>
      </c>
      <c r="E29" s="10">
        <v>110</v>
      </c>
      <c r="F29" s="207">
        <f>E29</f>
        <v>110</v>
      </c>
      <c r="G29" s="67">
        <f>F29</f>
        <v>110</v>
      </c>
      <c r="I29" s="202" t="s">
        <v>177</v>
      </c>
      <c r="J29" s="195" t="s">
        <v>13</v>
      </c>
      <c r="K29" s="186" t="s">
        <v>200</v>
      </c>
      <c r="L29" s="210"/>
      <c r="M29" s="210">
        <f>SUM(M25:M28)</f>
        <v>347.25</v>
      </c>
      <c r="N29" s="188">
        <f>SUM(N25:N28)</f>
        <v>347.25</v>
      </c>
      <c r="O29" s="248"/>
    </row>
    <row r="30" spans="2:15" x14ac:dyDescent="0.25">
      <c r="B30" s="569"/>
      <c r="C30" s="66" t="s">
        <v>19</v>
      </c>
      <c r="D30" s="10" t="s">
        <v>200</v>
      </c>
      <c r="E30" s="178">
        <v>4.4999999999999998E-2</v>
      </c>
      <c r="F30" s="63">
        <f>E30*F26</f>
        <v>42.704999999999998</v>
      </c>
      <c r="G30" s="67">
        <f>E30*G26</f>
        <v>42.704999999999998</v>
      </c>
      <c r="I30" s="201"/>
      <c r="J30" s="194" t="s">
        <v>2</v>
      </c>
      <c r="K30" s="190" t="s">
        <v>200</v>
      </c>
      <c r="L30" s="104"/>
      <c r="M30" s="104">
        <f>SUM(M29,M24,M20,M15)</f>
        <v>3027.1081999999997</v>
      </c>
      <c r="N30" s="105">
        <f>SUM(N29,N24,N20,N15)</f>
        <v>5513.1477073443975</v>
      </c>
      <c r="O30" s="248"/>
    </row>
    <row r="31" spans="2:15" ht="15.75" thickBot="1" x14ac:dyDescent="0.3">
      <c r="B31" s="204" t="s">
        <v>177</v>
      </c>
      <c r="C31" s="227" t="s">
        <v>13</v>
      </c>
      <c r="D31" s="228" t="s">
        <v>200</v>
      </c>
      <c r="E31" s="228"/>
      <c r="F31" s="225">
        <f>SUM(F27:F30)</f>
        <v>342.505</v>
      </c>
      <c r="G31" s="226">
        <f>SUM(G27:G30)</f>
        <v>342.505</v>
      </c>
      <c r="H31" s="2"/>
      <c r="I31" s="201"/>
      <c r="J31" s="194" t="s">
        <v>149</v>
      </c>
      <c r="K31" s="190" t="s">
        <v>200</v>
      </c>
      <c r="L31" s="104"/>
      <c r="M31" s="581">
        <f>((M30*M5)+(N30*N5))/100</f>
        <v>3772.9200522033188</v>
      </c>
      <c r="N31" s="582"/>
      <c r="O31" s="250"/>
    </row>
    <row r="32" spans="2:15" ht="15.75" thickBot="1" x14ac:dyDescent="0.3">
      <c r="C32" s="229" t="s">
        <v>2</v>
      </c>
      <c r="D32" s="230" t="s">
        <v>200</v>
      </c>
      <c r="E32" s="230"/>
      <c r="F32" s="231">
        <f>SUM(F31,F26,F22,F15)</f>
        <v>3103.1877199999999</v>
      </c>
      <c r="G32" s="232">
        <f>SUM(G31,G26,G22,G15)</f>
        <v>5531.2122924979249</v>
      </c>
      <c r="H32" s="2"/>
      <c r="I32" s="201"/>
      <c r="J32" s="141"/>
      <c r="K32" s="193" t="s">
        <v>150</v>
      </c>
      <c r="L32" s="87"/>
      <c r="M32" s="235"/>
      <c r="N32" s="236">
        <f>M31/1000</f>
        <v>3.7729200522033191</v>
      </c>
      <c r="O32" s="248"/>
    </row>
    <row r="33" spans="2:15" s="2" customFormat="1" x14ac:dyDescent="0.25">
      <c r="B33" s="203"/>
      <c r="C33" s="194" t="s">
        <v>147</v>
      </c>
      <c r="D33" s="190" t="s">
        <v>200</v>
      </c>
      <c r="E33" s="190"/>
      <c r="F33" s="579">
        <f>((F32*F5)+(G32*G5))/100</f>
        <v>3831.5950917493774</v>
      </c>
      <c r="G33" s="580"/>
      <c r="I33" s="201"/>
      <c r="J33"/>
      <c r="K33"/>
      <c r="L33"/>
      <c r="M33" s="237"/>
      <c r="N33" s="237"/>
      <c r="O33" s="237"/>
    </row>
    <row r="34" spans="2:15" ht="15.75" thickBot="1" x14ac:dyDescent="0.3">
      <c r="C34" s="141"/>
      <c r="D34" s="193" t="s">
        <v>150</v>
      </c>
      <c r="E34" s="234"/>
      <c r="F34" s="235"/>
      <c r="G34" s="236">
        <f>F33/1000</f>
        <v>3.8315950917493775</v>
      </c>
      <c r="I34" s="201"/>
      <c r="J34" t="s">
        <v>167</v>
      </c>
      <c r="K34" t="s">
        <v>168</v>
      </c>
      <c r="M34" s="57">
        <v>30000</v>
      </c>
      <c r="N34" s="57"/>
      <c r="O34" s="57"/>
    </row>
    <row r="35" spans="2:15" x14ac:dyDescent="0.25">
      <c r="F35" s="237"/>
      <c r="G35" s="237"/>
    </row>
    <row r="36" spans="2:15" x14ac:dyDescent="0.25">
      <c r="C36" t="s">
        <v>167</v>
      </c>
      <c r="D36" t="s">
        <v>168</v>
      </c>
      <c r="F36" s="57">
        <v>30000</v>
      </c>
      <c r="J36" t="s">
        <v>384</v>
      </c>
    </row>
    <row r="38" spans="2:15" x14ac:dyDescent="0.25">
      <c r="F38" s="107"/>
      <c r="G38" s="107"/>
      <c r="M38" s="107"/>
      <c r="N38" s="107"/>
      <c r="O38" s="107"/>
    </row>
    <row r="40" spans="2:15" x14ac:dyDescent="0.25">
      <c r="F40" s="107"/>
      <c r="G40" s="107"/>
      <c r="M40" s="107"/>
      <c r="N40" s="107"/>
      <c r="O40" s="107"/>
    </row>
  </sheetData>
  <mergeCells count="16">
    <mergeCell ref="B27:B30"/>
    <mergeCell ref="E3:F3"/>
    <mergeCell ref="E4:F4"/>
    <mergeCell ref="B16:B21"/>
    <mergeCell ref="B6:B14"/>
    <mergeCell ref="C6:C7"/>
    <mergeCell ref="L3:M3"/>
    <mergeCell ref="I16:I19"/>
    <mergeCell ref="I6:I14"/>
    <mergeCell ref="J6:J7"/>
    <mergeCell ref="B23:B25"/>
    <mergeCell ref="F33:G33"/>
    <mergeCell ref="M31:N31"/>
    <mergeCell ref="I21:I23"/>
    <mergeCell ref="I25:I28"/>
    <mergeCell ref="L4:M4"/>
  </mergeCells>
  <pageMargins left="0.7" right="0.7" top="0.75" bottom="0.75" header="0.3" footer="0.3"/>
  <pageSetup orientation="portrait" r:id="rId1"/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E125-26D5-40DB-8DF2-FD8CC631034F}">
  <sheetPr>
    <tabColor theme="7" tint="-0.249977111117893"/>
  </sheetPr>
  <dimension ref="B1:O40"/>
  <sheetViews>
    <sheetView workbookViewId="0">
      <selection activeCell="J36" sqref="J36"/>
    </sheetView>
  </sheetViews>
  <sheetFormatPr defaultRowHeight="15" x14ac:dyDescent="0.25"/>
  <cols>
    <col min="1" max="1" width="5" customWidth="1"/>
    <col min="2" max="2" width="17.85546875" style="203" customWidth="1"/>
    <col min="3" max="3" width="32" bestFit="1" customWidth="1"/>
    <col min="4" max="4" width="14.7109375" bestFit="1" customWidth="1"/>
    <col min="5" max="5" width="7.7109375" bestFit="1" customWidth="1"/>
    <col min="6" max="6" width="11.28515625" bestFit="1" customWidth="1"/>
    <col min="7" max="7" width="11.5703125" style="57" bestFit="1" customWidth="1"/>
    <col min="8" max="8" width="26.140625" bestFit="1" customWidth="1"/>
    <col min="9" max="9" width="17.7109375" style="1" customWidth="1"/>
    <col min="10" max="10" width="32" bestFit="1" customWidth="1"/>
    <col min="11" max="11" width="14.7109375" bestFit="1" customWidth="1"/>
    <col min="12" max="12" width="6" bestFit="1" customWidth="1"/>
    <col min="13" max="13" width="11.28515625" bestFit="1" customWidth="1"/>
    <col min="14" max="14" width="13.140625" bestFit="1" customWidth="1"/>
    <col min="15" max="15" width="10.28515625" customWidth="1"/>
    <col min="16" max="16" width="25.7109375" bestFit="1" customWidth="1"/>
  </cols>
  <sheetData>
    <row r="1" spans="2:15" ht="15.75" thickBot="1" x14ac:dyDescent="0.3"/>
    <row r="2" spans="2:15" ht="15.75" thickBot="1" x14ac:dyDescent="0.3">
      <c r="C2" s="179"/>
      <c r="D2" s="180" t="s">
        <v>4</v>
      </c>
      <c r="E2" s="180" t="s">
        <v>20</v>
      </c>
      <c r="F2" s="180" t="s">
        <v>205</v>
      </c>
      <c r="G2" s="215" t="s">
        <v>206</v>
      </c>
      <c r="H2" s="2"/>
      <c r="I2" s="201"/>
      <c r="J2" s="179"/>
      <c r="K2" s="180" t="s">
        <v>4</v>
      </c>
      <c r="L2" s="180" t="s">
        <v>20</v>
      </c>
      <c r="M2" s="180" t="s">
        <v>205</v>
      </c>
      <c r="N2" s="181" t="s">
        <v>206</v>
      </c>
      <c r="O2" s="2"/>
    </row>
    <row r="3" spans="2:15" x14ac:dyDescent="0.25">
      <c r="C3" s="198" t="s">
        <v>148</v>
      </c>
      <c r="D3" s="143"/>
      <c r="E3" s="583" t="s">
        <v>198</v>
      </c>
      <c r="F3" s="583"/>
      <c r="G3" s="216"/>
      <c r="I3" s="201"/>
      <c r="J3" s="74" t="s">
        <v>148</v>
      </c>
      <c r="K3" s="112"/>
      <c r="L3" s="583" t="str">
        <f>E3</f>
        <v>G11</v>
      </c>
      <c r="M3" s="583"/>
      <c r="N3" s="208"/>
      <c r="O3" s="251"/>
    </row>
    <row r="4" spans="2:15" x14ac:dyDescent="0.25">
      <c r="C4" s="66" t="s">
        <v>6</v>
      </c>
      <c r="D4" s="10" t="s">
        <v>131</v>
      </c>
      <c r="E4" s="573" t="s">
        <v>199</v>
      </c>
      <c r="F4" s="573"/>
      <c r="G4" s="217" t="s">
        <v>209</v>
      </c>
      <c r="I4" s="201"/>
      <c r="J4" s="66" t="s">
        <v>6</v>
      </c>
      <c r="K4" s="10" t="s">
        <v>131</v>
      </c>
      <c r="L4" s="573" t="str">
        <f>E4</f>
        <v>4000 to 4300</v>
      </c>
      <c r="M4" s="573"/>
      <c r="N4" s="233" t="str">
        <f>G4</f>
        <v>4200 GAR</v>
      </c>
      <c r="O4" s="252"/>
    </row>
    <row r="5" spans="2:15" ht="15.75" thickBot="1" x14ac:dyDescent="0.3">
      <c r="C5" s="141" t="s">
        <v>207</v>
      </c>
      <c r="D5" s="110"/>
      <c r="E5" s="110"/>
      <c r="F5" s="221">
        <v>70</v>
      </c>
      <c r="G5" s="220">
        <f>100-F5</f>
        <v>30</v>
      </c>
      <c r="I5" s="201"/>
      <c r="J5" s="196" t="s">
        <v>207</v>
      </c>
      <c r="K5" s="153"/>
      <c r="L5" s="110"/>
      <c r="M5" s="221">
        <f>F5</f>
        <v>70</v>
      </c>
      <c r="N5" s="257">
        <f>G5</f>
        <v>30</v>
      </c>
      <c r="O5" s="12"/>
    </row>
    <row r="6" spans="2:15" x14ac:dyDescent="0.25">
      <c r="B6" s="586" t="s">
        <v>7</v>
      </c>
      <c r="C6" s="584" t="s">
        <v>7</v>
      </c>
      <c r="D6" s="143" t="s">
        <v>208</v>
      </c>
      <c r="E6" s="183"/>
      <c r="F6" s="209"/>
      <c r="G6" s="218">
        <v>51.5</v>
      </c>
      <c r="H6" t="s">
        <v>203</v>
      </c>
      <c r="I6" s="563" t="s">
        <v>7</v>
      </c>
      <c r="J6" s="584" t="s">
        <v>7</v>
      </c>
      <c r="K6" s="143" t="s">
        <v>208</v>
      </c>
      <c r="L6" s="183"/>
      <c r="M6" s="209"/>
      <c r="N6" s="218">
        <f>G6</f>
        <v>51.5</v>
      </c>
      <c r="O6" s="249"/>
    </row>
    <row r="7" spans="2:15" x14ac:dyDescent="0.25">
      <c r="B7" s="587"/>
      <c r="C7" s="585"/>
      <c r="D7" s="112" t="s">
        <v>200</v>
      </c>
      <c r="E7" s="182"/>
      <c r="F7" s="214">
        <v>955</v>
      </c>
      <c r="G7" s="219">
        <f>G6/'Exchange Rate'!C7</f>
        <v>3319.0414846473022</v>
      </c>
      <c r="I7" s="564"/>
      <c r="J7" s="585"/>
      <c r="K7" s="112" t="s">
        <v>200</v>
      </c>
      <c r="L7" s="182"/>
      <c r="M7" s="214">
        <f>F7</f>
        <v>955</v>
      </c>
      <c r="N7" s="219">
        <f>N6/'Exchange Rate'!C7</f>
        <v>3319.0414846473022</v>
      </c>
      <c r="O7" s="249"/>
    </row>
    <row r="8" spans="2:15" x14ac:dyDescent="0.25">
      <c r="B8" s="587"/>
      <c r="C8" s="66" t="s">
        <v>8</v>
      </c>
      <c r="D8" s="10" t="s">
        <v>200</v>
      </c>
      <c r="E8" s="10">
        <v>79</v>
      </c>
      <c r="F8" s="207">
        <f>E8</f>
        <v>79</v>
      </c>
      <c r="G8" s="67">
        <v>0</v>
      </c>
      <c r="H8" s="175"/>
      <c r="I8" s="564"/>
      <c r="J8" s="66" t="s">
        <v>8</v>
      </c>
      <c r="K8" s="10" t="s">
        <v>200</v>
      </c>
      <c r="L8" s="10">
        <v>79</v>
      </c>
      <c r="M8" s="207">
        <f>L8</f>
        <v>79</v>
      </c>
      <c r="N8" s="185">
        <v>0</v>
      </c>
      <c r="O8" s="253"/>
    </row>
    <row r="9" spans="2:15" x14ac:dyDescent="0.25">
      <c r="B9" s="587"/>
      <c r="C9" s="66" t="s">
        <v>9</v>
      </c>
      <c r="D9" s="10" t="s">
        <v>200</v>
      </c>
      <c r="E9" s="10">
        <v>57</v>
      </c>
      <c r="F9" s="207">
        <f>E9</f>
        <v>57</v>
      </c>
      <c r="G9" s="67">
        <v>0</v>
      </c>
      <c r="I9" s="564"/>
      <c r="J9" s="66" t="s">
        <v>9</v>
      </c>
      <c r="K9" s="10" t="s">
        <v>200</v>
      </c>
      <c r="L9" s="10">
        <v>57</v>
      </c>
      <c r="M9" s="207">
        <f>L9</f>
        <v>57</v>
      </c>
      <c r="N9" s="185">
        <v>0</v>
      </c>
      <c r="O9" s="253"/>
    </row>
    <row r="10" spans="2:15" x14ac:dyDescent="0.25">
      <c r="B10" s="587"/>
      <c r="C10" s="66" t="s">
        <v>10</v>
      </c>
      <c r="D10" s="10" t="s">
        <v>200</v>
      </c>
      <c r="E10" s="176">
        <v>0.14000000000000001</v>
      </c>
      <c r="F10" s="63">
        <f>$E$10*F7</f>
        <v>133.70000000000002</v>
      </c>
      <c r="G10" s="67">
        <v>0</v>
      </c>
      <c r="I10" s="564"/>
      <c r="J10" s="66" t="s">
        <v>10</v>
      </c>
      <c r="K10" s="10" t="s">
        <v>200</v>
      </c>
      <c r="L10" s="176">
        <v>0.14000000000000001</v>
      </c>
      <c r="M10" s="63">
        <f>L10*M7</f>
        <v>133.70000000000002</v>
      </c>
      <c r="N10" s="67">
        <v>0</v>
      </c>
      <c r="O10" s="57"/>
    </row>
    <row r="11" spans="2:15" x14ac:dyDescent="0.25">
      <c r="B11" s="587"/>
      <c r="C11" s="196" t="s">
        <v>145</v>
      </c>
      <c r="D11" s="153" t="s">
        <v>200</v>
      </c>
      <c r="E11" s="240">
        <v>0.3</v>
      </c>
      <c r="F11" s="241">
        <f>$E11*$F$10</f>
        <v>40.110000000000007</v>
      </c>
      <c r="G11" s="164">
        <v>0</v>
      </c>
      <c r="I11" s="564"/>
      <c r="J11" s="66" t="s">
        <v>145</v>
      </c>
      <c r="K11" s="10" t="s">
        <v>200</v>
      </c>
      <c r="L11" s="176">
        <v>0.3</v>
      </c>
      <c r="M11" s="63">
        <f>L11*M10</f>
        <v>40.110000000000007</v>
      </c>
      <c r="N11" s="67">
        <v>0</v>
      </c>
      <c r="O11" s="57"/>
    </row>
    <row r="12" spans="2:15" x14ac:dyDescent="0.25">
      <c r="B12" s="587"/>
      <c r="C12" s="66" t="s">
        <v>146</v>
      </c>
      <c r="D12" s="10" t="s">
        <v>200</v>
      </c>
      <c r="E12" s="176">
        <v>0.02</v>
      </c>
      <c r="F12" s="63">
        <f>$E12*$F$10</f>
        <v>2.6740000000000004</v>
      </c>
      <c r="G12" s="67">
        <v>0</v>
      </c>
      <c r="I12" s="564"/>
      <c r="J12" s="66" t="s">
        <v>146</v>
      </c>
      <c r="K12" s="10" t="s">
        <v>200</v>
      </c>
      <c r="L12" s="176">
        <v>0.02</v>
      </c>
      <c r="M12" s="63">
        <f>L12*M10</f>
        <v>2.6740000000000004</v>
      </c>
      <c r="N12" s="67">
        <v>0</v>
      </c>
      <c r="O12" s="57"/>
    </row>
    <row r="13" spans="2:15" x14ac:dyDescent="0.25">
      <c r="B13" s="587"/>
      <c r="C13" s="66" t="s">
        <v>12</v>
      </c>
      <c r="D13" s="10" t="s">
        <v>200</v>
      </c>
      <c r="E13" s="10">
        <v>10</v>
      </c>
      <c r="F13" s="207">
        <f>E13</f>
        <v>10</v>
      </c>
      <c r="G13" s="67">
        <v>0</v>
      </c>
      <c r="I13" s="564"/>
      <c r="J13" s="66" t="s">
        <v>12</v>
      </c>
      <c r="K13" s="10" t="s">
        <v>200</v>
      </c>
      <c r="L13" s="63">
        <v>0</v>
      </c>
      <c r="M13" s="207">
        <f>L13</f>
        <v>0</v>
      </c>
      <c r="N13" s="185">
        <v>0</v>
      </c>
      <c r="O13" s="253"/>
    </row>
    <row r="14" spans="2:15" x14ac:dyDescent="0.25">
      <c r="B14" s="570"/>
      <c r="C14" s="66" t="s">
        <v>204</v>
      </c>
      <c r="D14" s="10" t="s">
        <v>200</v>
      </c>
      <c r="E14" s="10">
        <v>400</v>
      </c>
      <c r="F14" s="207">
        <f>E14</f>
        <v>400</v>
      </c>
      <c r="G14" s="67">
        <f>F14</f>
        <v>400</v>
      </c>
      <c r="I14" s="565"/>
      <c r="J14" s="196"/>
      <c r="K14" s="153"/>
      <c r="L14" s="153"/>
      <c r="M14" s="238"/>
      <c r="N14" s="239"/>
      <c r="O14" s="253"/>
    </row>
    <row r="15" spans="2:15" ht="15.75" thickBot="1" x14ac:dyDescent="0.3">
      <c r="B15" s="247" t="s">
        <v>174</v>
      </c>
      <c r="C15" s="242" t="s">
        <v>13</v>
      </c>
      <c r="D15" s="243" t="s">
        <v>200</v>
      </c>
      <c r="E15" s="244"/>
      <c r="F15" s="245">
        <f>SUM(F6:F14)</f>
        <v>1677.4839999999999</v>
      </c>
      <c r="G15" s="246">
        <f>SUM(G7:G14)</f>
        <v>3719.0414846473022</v>
      </c>
      <c r="H15" s="107"/>
      <c r="I15" s="202" t="s">
        <v>174</v>
      </c>
      <c r="J15" s="195" t="s">
        <v>13</v>
      </c>
      <c r="K15" s="186" t="s">
        <v>200</v>
      </c>
      <c r="L15" s="187"/>
      <c r="M15" s="210">
        <f>SUM(M6:M13)</f>
        <v>1267.4839999999999</v>
      </c>
      <c r="N15" s="188">
        <f>SUM(N7:N13)</f>
        <v>3319.0414846473022</v>
      </c>
      <c r="O15" s="248"/>
    </row>
    <row r="16" spans="2:15" x14ac:dyDescent="0.25">
      <c r="B16" s="568" t="s">
        <v>171</v>
      </c>
      <c r="C16" s="198"/>
      <c r="D16" s="143"/>
      <c r="E16" s="143"/>
      <c r="F16" s="211"/>
      <c r="G16" s="192"/>
      <c r="I16" s="570" t="s">
        <v>171</v>
      </c>
      <c r="J16" s="74" t="s">
        <v>217</v>
      </c>
      <c r="K16" s="112" t="s">
        <v>200</v>
      </c>
      <c r="L16" s="143">
        <v>400</v>
      </c>
      <c r="M16" s="211">
        <f>L16</f>
        <v>400</v>
      </c>
      <c r="N16" s="189">
        <f>M16</f>
        <v>400</v>
      </c>
      <c r="O16" s="253"/>
    </row>
    <row r="17" spans="2:15" x14ac:dyDescent="0.25">
      <c r="B17" s="565"/>
      <c r="C17" s="74" t="s">
        <v>212</v>
      </c>
      <c r="D17" s="112"/>
      <c r="E17" s="224">
        <v>0.1</v>
      </c>
      <c r="F17" s="223">
        <v>0</v>
      </c>
      <c r="G17" s="78">
        <f>E17*G15</f>
        <v>371.90414846473027</v>
      </c>
      <c r="I17" s="570"/>
      <c r="J17" s="74" t="s">
        <v>218</v>
      </c>
      <c r="K17" s="112"/>
      <c r="L17" s="199">
        <v>0.1</v>
      </c>
      <c r="M17" s="223">
        <v>0</v>
      </c>
      <c r="N17" s="197">
        <f>L17*N15</f>
        <v>331.90414846473027</v>
      </c>
      <c r="O17" s="253"/>
    </row>
    <row r="18" spans="2:15" x14ac:dyDescent="0.25">
      <c r="B18" s="565"/>
      <c r="C18" s="74" t="s">
        <v>213</v>
      </c>
      <c r="D18" s="112"/>
      <c r="E18" s="255">
        <v>0.02</v>
      </c>
      <c r="F18" s="223">
        <v>0</v>
      </c>
      <c r="G18" s="78">
        <f>E18*G15</f>
        <v>74.380829692946051</v>
      </c>
      <c r="I18" s="570"/>
      <c r="J18" s="74" t="s">
        <v>214</v>
      </c>
      <c r="K18" s="112"/>
      <c r="L18" s="199">
        <v>0.05</v>
      </c>
      <c r="M18" s="77">
        <f>L18*M15</f>
        <v>63.374200000000002</v>
      </c>
      <c r="N18" s="197">
        <f>L18*N15</f>
        <v>165.95207423236513</v>
      </c>
      <c r="O18" s="253"/>
    </row>
    <row r="19" spans="2:15" x14ac:dyDescent="0.25">
      <c r="B19" s="569"/>
      <c r="C19" s="66" t="s">
        <v>11</v>
      </c>
      <c r="D19" s="10" t="s">
        <v>200</v>
      </c>
      <c r="E19" s="256">
        <v>0.06</v>
      </c>
      <c r="F19" s="63">
        <f>$E$19*F15</f>
        <v>100.64903999999999</v>
      </c>
      <c r="G19" s="67">
        <v>0</v>
      </c>
      <c r="I19" s="567"/>
      <c r="J19" s="66"/>
      <c r="K19" s="10"/>
      <c r="L19" s="176"/>
      <c r="M19" s="63"/>
      <c r="N19" s="67"/>
      <c r="O19" s="57"/>
    </row>
    <row r="20" spans="2:15" ht="15.75" thickBot="1" x14ac:dyDescent="0.3">
      <c r="B20" s="569"/>
      <c r="C20" s="66" t="s">
        <v>178</v>
      </c>
      <c r="D20" s="10" t="s">
        <v>200</v>
      </c>
      <c r="E20" s="256">
        <v>0.02</v>
      </c>
      <c r="F20" s="63">
        <f>E20*F15</f>
        <v>33.549680000000002</v>
      </c>
      <c r="G20" s="78">
        <f>E20*G15</f>
        <v>74.380829692946051</v>
      </c>
      <c r="I20" s="202" t="s">
        <v>175</v>
      </c>
      <c r="J20" s="195" t="s">
        <v>13</v>
      </c>
      <c r="K20" s="186" t="s">
        <v>200</v>
      </c>
      <c r="L20" s="187"/>
      <c r="M20" s="210">
        <f>SUM(M16:M19)</f>
        <v>463.37419999999997</v>
      </c>
      <c r="N20" s="188">
        <f>SUM(N16:N19)</f>
        <v>897.8562226970954</v>
      </c>
      <c r="O20" s="248"/>
    </row>
    <row r="21" spans="2:15" x14ac:dyDescent="0.25">
      <c r="B21" s="569"/>
      <c r="C21" s="66"/>
      <c r="D21" s="10"/>
      <c r="E21" s="256"/>
      <c r="F21" s="63"/>
      <c r="G21" s="67"/>
      <c r="I21" s="570" t="s">
        <v>172</v>
      </c>
      <c r="J21" s="74" t="s">
        <v>14</v>
      </c>
      <c r="K21" s="112" t="s">
        <v>144</v>
      </c>
      <c r="L21" s="183"/>
      <c r="M21" s="209">
        <f>'C_DI - VC'!F23</f>
        <v>533</v>
      </c>
      <c r="N21" s="218">
        <f>M21</f>
        <v>533</v>
      </c>
      <c r="O21" s="249"/>
    </row>
    <row r="22" spans="2:15" ht="15.75" thickBot="1" x14ac:dyDescent="0.3">
      <c r="B22" s="204" t="s">
        <v>175</v>
      </c>
      <c r="C22" s="195" t="s">
        <v>13</v>
      </c>
      <c r="D22" s="186" t="s">
        <v>200</v>
      </c>
      <c r="E22" s="187"/>
      <c r="F22" s="210">
        <f>SUM(F16:F21)</f>
        <v>134.19871999999998</v>
      </c>
      <c r="G22" s="188">
        <f>SUM(G16:G21)</f>
        <v>520.6658078506224</v>
      </c>
      <c r="I22" s="567"/>
      <c r="J22" s="66" t="s">
        <v>15</v>
      </c>
      <c r="K22" s="10" t="s">
        <v>144</v>
      </c>
      <c r="L22" s="8"/>
      <c r="M22" s="177">
        <f>'C_DI - VC'!F24</f>
        <v>0</v>
      </c>
      <c r="N22" s="212">
        <f>M22</f>
        <v>0</v>
      </c>
      <c r="O22" s="249"/>
    </row>
    <row r="23" spans="2:15" x14ac:dyDescent="0.25">
      <c r="B23" s="565" t="s">
        <v>172</v>
      </c>
      <c r="C23" s="198" t="s">
        <v>14</v>
      </c>
      <c r="D23" s="143" t="s">
        <v>144</v>
      </c>
      <c r="E23" s="183"/>
      <c r="F23" s="209">
        <v>533</v>
      </c>
      <c r="G23" s="184">
        <f>F23</f>
        <v>533</v>
      </c>
      <c r="I23" s="567"/>
      <c r="J23" s="66" t="s">
        <v>16</v>
      </c>
      <c r="K23" s="10" t="s">
        <v>200</v>
      </c>
      <c r="L23" s="8"/>
      <c r="M23" s="177">
        <f>F25</f>
        <v>949</v>
      </c>
      <c r="N23" s="212">
        <f>M23</f>
        <v>949</v>
      </c>
      <c r="O23" t="s">
        <v>202</v>
      </c>
    </row>
    <row r="24" spans="2:15" ht="15.75" thickBot="1" x14ac:dyDescent="0.3">
      <c r="B24" s="569"/>
      <c r="C24" s="66" t="s">
        <v>15</v>
      </c>
      <c r="D24" s="10" t="s">
        <v>144</v>
      </c>
      <c r="E24" s="8"/>
      <c r="F24" s="177">
        <v>0</v>
      </c>
      <c r="G24" s="212">
        <f>F24</f>
        <v>0</v>
      </c>
      <c r="I24" s="202" t="s">
        <v>176</v>
      </c>
      <c r="J24" s="195" t="s">
        <v>13</v>
      </c>
      <c r="K24" s="186" t="s">
        <v>200</v>
      </c>
      <c r="L24" s="187"/>
      <c r="M24" s="210">
        <f>SUM(M23)</f>
        <v>949</v>
      </c>
      <c r="N24" s="188">
        <f>SUM(N23)</f>
        <v>949</v>
      </c>
      <c r="O24" s="248"/>
    </row>
    <row r="25" spans="2:15" x14ac:dyDescent="0.25">
      <c r="B25" s="569"/>
      <c r="C25" s="66" t="s">
        <v>16</v>
      </c>
      <c r="D25" s="10" t="s">
        <v>200</v>
      </c>
      <c r="E25" s="8"/>
      <c r="F25" s="177">
        <v>949</v>
      </c>
      <c r="G25" s="212">
        <f>F25</f>
        <v>949</v>
      </c>
      <c r="H25" t="s">
        <v>202</v>
      </c>
      <c r="I25" s="570" t="s">
        <v>173</v>
      </c>
      <c r="J25" s="198" t="s">
        <v>215</v>
      </c>
      <c r="K25" s="143" t="s">
        <v>200</v>
      </c>
      <c r="L25" s="254">
        <f>E27</f>
        <v>0.15</v>
      </c>
      <c r="M25" s="213">
        <f>L25*M23</f>
        <v>142.35</v>
      </c>
      <c r="N25" s="192">
        <f>M25</f>
        <v>142.35</v>
      </c>
      <c r="O25" s="57"/>
    </row>
    <row r="26" spans="2:15" ht="15.75" thickBot="1" x14ac:dyDescent="0.3">
      <c r="B26" s="205" t="s">
        <v>176</v>
      </c>
      <c r="C26" s="195" t="s">
        <v>13</v>
      </c>
      <c r="D26" s="186" t="s">
        <v>200</v>
      </c>
      <c r="E26" s="187"/>
      <c r="F26" s="210">
        <f>SUM(F25)</f>
        <v>949</v>
      </c>
      <c r="G26" s="188">
        <f>SUM(G25)</f>
        <v>949</v>
      </c>
      <c r="I26" s="567"/>
      <c r="J26" s="66" t="s">
        <v>216</v>
      </c>
      <c r="K26" s="10" t="s">
        <v>200</v>
      </c>
      <c r="L26" s="222">
        <v>0.05</v>
      </c>
      <c r="M26" s="63">
        <f>L26*M24</f>
        <v>47.45</v>
      </c>
      <c r="N26" s="67">
        <f>L26*N24</f>
        <v>47.45</v>
      </c>
      <c r="O26" s="57"/>
    </row>
    <row r="27" spans="2:15" x14ac:dyDescent="0.25">
      <c r="B27" s="568" t="s">
        <v>173</v>
      </c>
      <c r="C27" s="198" t="s">
        <v>201</v>
      </c>
      <c r="D27" s="143" t="s">
        <v>200</v>
      </c>
      <c r="E27" s="191">
        <v>0.15</v>
      </c>
      <c r="F27" s="213">
        <f>E27*F26</f>
        <v>142.35</v>
      </c>
      <c r="G27" s="192">
        <f>E27*G26</f>
        <v>142.35</v>
      </c>
      <c r="I27" s="567"/>
      <c r="J27" s="66" t="s">
        <v>18</v>
      </c>
      <c r="K27" s="10" t="s">
        <v>200</v>
      </c>
      <c r="L27" s="207">
        <v>110</v>
      </c>
      <c r="M27" s="207">
        <f>L27</f>
        <v>110</v>
      </c>
      <c r="N27" s="185">
        <f>L27</f>
        <v>110</v>
      </c>
      <c r="O27" s="253"/>
    </row>
    <row r="28" spans="2:15" x14ac:dyDescent="0.25">
      <c r="B28" s="569"/>
      <c r="C28" s="66" t="s">
        <v>17</v>
      </c>
      <c r="D28" s="10" t="s">
        <v>200</v>
      </c>
      <c r="E28" s="176">
        <v>0.05</v>
      </c>
      <c r="F28" s="63">
        <f>E28*F26</f>
        <v>47.45</v>
      </c>
      <c r="G28" s="67">
        <f>E28*G26</f>
        <v>47.45</v>
      </c>
      <c r="I28" s="567"/>
      <c r="J28" s="66" t="s">
        <v>21</v>
      </c>
      <c r="K28" s="10" t="s">
        <v>200</v>
      </c>
      <c r="L28" s="222">
        <v>0.05</v>
      </c>
      <c r="M28" s="63">
        <f>L28*M24</f>
        <v>47.45</v>
      </c>
      <c r="N28" s="67">
        <f>L28*N24</f>
        <v>47.45</v>
      </c>
      <c r="O28" s="57"/>
    </row>
    <row r="29" spans="2:15" ht="15.75" thickBot="1" x14ac:dyDescent="0.3">
      <c r="B29" s="569"/>
      <c r="C29" s="66" t="s">
        <v>18</v>
      </c>
      <c r="D29" s="10" t="s">
        <v>200</v>
      </c>
      <c r="E29" s="10">
        <v>110</v>
      </c>
      <c r="F29" s="207">
        <f>E29</f>
        <v>110</v>
      </c>
      <c r="G29" s="67">
        <f>F29</f>
        <v>110</v>
      </c>
      <c r="I29" s="202" t="s">
        <v>177</v>
      </c>
      <c r="J29" s="195" t="s">
        <v>13</v>
      </c>
      <c r="K29" s="186" t="s">
        <v>200</v>
      </c>
      <c r="L29" s="210"/>
      <c r="M29" s="210">
        <f>SUM(M25:M28)</f>
        <v>347.25</v>
      </c>
      <c r="N29" s="188">
        <f>SUM(N25:N28)</f>
        <v>347.25</v>
      </c>
      <c r="O29" s="248"/>
    </row>
    <row r="30" spans="2:15" x14ac:dyDescent="0.25">
      <c r="B30" s="569"/>
      <c r="C30" s="66" t="s">
        <v>19</v>
      </c>
      <c r="D30" s="10" t="s">
        <v>200</v>
      </c>
      <c r="E30" s="178">
        <v>4.4999999999999998E-2</v>
      </c>
      <c r="F30" s="63">
        <f>E30*F26</f>
        <v>42.704999999999998</v>
      </c>
      <c r="G30" s="67">
        <f>E30*G26</f>
        <v>42.704999999999998</v>
      </c>
      <c r="I30" s="201"/>
      <c r="J30" s="194" t="s">
        <v>2</v>
      </c>
      <c r="K30" s="190" t="s">
        <v>200</v>
      </c>
      <c r="L30" s="104"/>
      <c r="M30" s="104">
        <f>SUM(M29,M24,M20,M15)</f>
        <v>3027.1081999999997</v>
      </c>
      <c r="N30" s="105">
        <f>SUM(N29,N24,N20,N15)</f>
        <v>5513.1477073443975</v>
      </c>
      <c r="O30" s="248"/>
    </row>
    <row r="31" spans="2:15" ht="15.75" thickBot="1" x14ac:dyDescent="0.3">
      <c r="B31" s="204" t="s">
        <v>177</v>
      </c>
      <c r="C31" s="227" t="s">
        <v>13</v>
      </c>
      <c r="D31" s="228" t="s">
        <v>200</v>
      </c>
      <c r="E31" s="228"/>
      <c r="F31" s="225">
        <f>SUM(F27:F30)</f>
        <v>342.505</v>
      </c>
      <c r="G31" s="226">
        <f>SUM(G27:G30)</f>
        <v>342.505</v>
      </c>
      <c r="H31" s="2"/>
      <c r="I31" s="201"/>
      <c r="J31" s="194" t="s">
        <v>149</v>
      </c>
      <c r="K31" s="190" t="s">
        <v>200</v>
      </c>
      <c r="L31" s="104"/>
      <c r="M31" s="581">
        <f>((M30*M5)+(N30*N5))/100</f>
        <v>3772.9200522033188</v>
      </c>
      <c r="N31" s="582"/>
      <c r="O31" s="250"/>
    </row>
    <row r="32" spans="2:15" ht="15.75" thickBot="1" x14ac:dyDescent="0.3">
      <c r="C32" s="229" t="s">
        <v>2</v>
      </c>
      <c r="D32" s="230" t="s">
        <v>200</v>
      </c>
      <c r="E32" s="230"/>
      <c r="F32" s="231">
        <f>SUM(F31,F26,F22,F15)</f>
        <v>3103.1877199999999</v>
      </c>
      <c r="G32" s="232">
        <f>SUM(G31,G26,G22,G15)</f>
        <v>5531.2122924979249</v>
      </c>
      <c r="H32" s="2"/>
      <c r="I32" s="201"/>
      <c r="J32" s="141"/>
      <c r="K32" s="193" t="s">
        <v>150</v>
      </c>
      <c r="L32" s="87"/>
      <c r="M32" s="235"/>
      <c r="N32" s="236">
        <f>M31/1000</f>
        <v>3.7729200522033191</v>
      </c>
      <c r="O32" s="248"/>
    </row>
    <row r="33" spans="2:15" s="2" customFormat="1" x14ac:dyDescent="0.25">
      <c r="B33" s="203"/>
      <c r="C33" s="194" t="s">
        <v>147</v>
      </c>
      <c r="D33" s="190" t="s">
        <v>200</v>
      </c>
      <c r="E33" s="190"/>
      <c r="F33" s="579">
        <f>((F32*F5)+(G32*G5))/100</f>
        <v>3831.5950917493774</v>
      </c>
      <c r="G33" s="580"/>
      <c r="I33" s="201"/>
      <c r="J33"/>
      <c r="K33"/>
      <c r="L33"/>
      <c r="M33" s="237"/>
      <c r="N33" s="237"/>
      <c r="O33" s="237"/>
    </row>
    <row r="34" spans="2:15" ht="15.75" thickBot="1" x14ac:dyDescent="0.3">
      <c r="C34" s="141"/>
      <c r="D34" s="193" t="s">
        <v>150</v>
      </c>
      <c r="E34" s="234"/>
      <c r="F34" s="235"/>
      <c r="G34" s="236">
        <f>F33/1000</f>
        <v>3.8315950917493775</v>
      </c>
      <c r="I34" s="201"/>
      <c r="J34" t="s">
        <v>167</v>
      </c>
      <c r="K34" t="s">
        <v>168</v>
      </c>
      <c r="M34" s="57">
        <v>30000</v>
      </c>
      <c r="N34" s="57"/>
      <c r="O34" s="57"/>
    </row>
    <row r="35" spans="2:15" x14ac:dyDescent="0.25">
      <c r="F35" s="237"/>
      <c r="G35" s="237"/>
    </row>
    <row r="36" spans="2:15" x14ac:dyDescent="0.25">
      <c r="C36" t="s">
        <v>167</v>
      </c>
      <c r="D36" t="s">
        <v>168</v>
      </c>
      <c r="F36" s="57">
        <v>30000</v>
      </c>
      <c r="J36" t="s">
        <v>384</v>
      </c>
    </row>
    <row r="38" spans="2:15" x14ac:dyDescent="0.25">
      <c r="F38" s="107"/>
      <c r="G38" s="107"/>
      <c r="M38" s="107"/>
      <c r="N38" s="107"/>
      <c r="O38" s="107"/>
    </row>
    <row r="40" spans="2:15" x14ac:dyDescent="0.25">
      <c r="F40" s="107"/>
      <c r="G40" s="107"/>
      <c r="M40" s="107"/>
      <c r="N40" s="107"/>
      <c r="O40" s="107"/>
    </row>
  </sheetData>
  <mergeCells count="16">
    <mergeCell ref="M31:N31"/>
    <mergeCell ref="F33:G33"/>
    <mergeCell ref="B16:B21"/>
    <mergeCell ref="I16:I19"/>
    <mergeCell ref="I21:I23"/>
    <mergeCell ref="B23:B25"/>
    <mergeCell ref="I25:I28"/>
    <mergeCell ref="B27:B30"/>
    <mergeCell ref="E3:F3"/>
    <mergeCell ref="L3:M3"/>
    <mergeCell ref="E4:F4"/>
    <mergeCell ref="L4:M4"/>
    <mergeCell ref="B6:B14"/>
    <mergeCell ref="C6:C7"/>
    <mergeCell ref="I6:I14"/>
    <mergeCell ref="J6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2F3D-00EA-4BEF-A835-0E08A92EA935}">
  <sheetPr>
    <tabColor theme="0" tint="-0.499984740745262"/>
  </sheetPr>
  <dimension ref="A1:H39"/>
  <sheetViews>
    <sheetView topLeftCell="A10" workbookViewId="0">
      <selection activeCell="Q38" sqref="A1:XFD1048576"/>
    </sheetView>
  </sheetViews>
  <sheetFormatPr defaultRowHeight="15" x14ac:dyDescent="0.25"/>
  <cols>
    <col min="1" max="1" width="20.7109375" style="2" bestFit="1" customWidth="1"/>
    <col min="2" max="2" width="50.7109375" bestFit="1" customWidth="1"/>
    <col min="3" max="3" width="10.28515625" bestFit="1" customWidth="1"/>
    <col min="4" max="4" width="11.42578125" customWidth="1"/>
    <col min="5" max="5" width="28.28515625" customWidth="1"/>
    <col min="6" max="6" width="10.140625" customWidth="1"/>
    <col min="7" max="7" width="11.7109375" customWidth="1"/>
    <col min="8" max="8" width="10.28515625" customWidth="1"/>
  </cols>
  <sheetData>
    <row r="1" spans="1:8" x14ac:dyDescent="0.25">
      <c r="A1" s="307" t="s">
        <v>222</v>
      </c>
      <c r="B1" s="35" t="s">
        <v>51</v>
      </c>
    </row>
    <row r="2" spans="1:8" ht="15.75" thickBot="1" x14ac:dyDescent="0.3"/>
    <row r="3" spans="1:8" x14ac:dyDescent="0.25">
      <c r="B3" s="13" t="s">
        <v>152</v>
      </c>
      <c r="C3" s="14" t="s">
        <v>0</v>
      </c>
      <c r="D3" s="15">
        <f>'C - Assumptions'!E3*'C - Assumptions'!E8*100</f>
        <v>232499.99999999994</v>
      </c>
      <c r="F3" s="588"/>
      <c r="G3" s="590" t="s">
        <v>53</v>
      </c>
      <c r="H3" s="591"/>
    </row>
    <row r="4" spans="1:8" ht="15.75" thickBot="1" x14ac:dyDescent="0.3">
      <c r="B4" s="16"/>
      <c r="C4" s="17"/>
      <c r="D4" s="67"/>
      <c r="F4" s="589"/>
      <c r="G4" s="25" t="s">
        <v>5</v>
      </c>
      <c r="H4" s="26" t="s">
        <v>25</v>
      </c>
    </row>
    <row r="5" spans="1:8" x14ac:dyDescent="0.25">
      <c r="B5" s="18" t="s">
        <v>50</v>
      </c>
      <c r="C5" s="17" t="s">
        <v>0</v>
      </c>
      <c r="D5" s="19">
        <f>SUM(D3:D4)</f>
        <v>232499.99999999994</v>
      </c>
      <c r="F5" s="27" t="s">
        <v>33</v>
      </c>
      <c r="G5" s="28">
        <f>H5*$G$7</f>
        <v>221599.50761849788</v>
      </c>
      <c r="H5" s="29">
        <f>'C - Assumptions'!E10</f>
        <v>0.7</v>
      </c>
    </row>
    <row r="6" spans="1:8" x14ac:dyDescent="0.25">
      <c r="B6" s="16" t="s">
        <v>153</v>
      </c>
      <c r="C6" s="17" t="s">
        <v>0</v>
      </c>
      <c r="D6" s="212">
        <f>735.641928635379*100</f>
        <v>73564.192863537901</v>
      </c>
      <c r="F6" s="30" t="s">
        <v>34</v>
      </c>
      <c r="G6" s="28">
        <f>H6*$G$7</f>
        <v>94971.217550784801</v>
      </c>
      <c r="H6" s="31">
        <f>'C - Assumptions'!E11</f>
        <v>0.3</v>
      </c>
    </row>
    <row r="7" spans="1:8" ht="15.75" thickBot="1" x14ac:dyDescent="0.3">
      <c r="B7" s="16" t="s">
        <v>156</v>
      </c>
      <c r="C7" s="17" t="s">
        <v>0</v>
      </c>
      <c r="D7" s="212">
        <f>105.065323057449*100</f>
        <v>10506.5323057449</v>
      </c>
      <c r="F7" s="32" t="s">
        <v>2</v>
      </c>
      <c r="G7" s="33">
        <f>D9</f>
        <v>316570.7251692827</v>
      </c>
      <c r="H7" s="34"/>
    </row>
    <row r="8" spans="1:8" ht="15.75" thickBot="1" x14ac:dyDescent="0.3">
      <c r="B8" s="162"/>
      <c r="C8" s="163"/>
      <c r="D8" s="164"/>
    </row>
    <row r="9" spans="1:8" ht="15.75" thickBot="1" x14ac:dyDescent="0.3">
      <c r="B9" s="165" t="s">
        <v>157</v>
      </c>
      <c r="C9" s="166" t="s">
        <v>0</v>
      </c>
      <c r="D9" s="167">
        <f>SUM(D5:D8)</f>
        <v>316570.7251692827</v>
      </c>
    </row>
    <row r="11" spans="1:8" x14ac:dyDescent="0.25">
      <c r="A11" s="307" t="s">
        <v>222</v>
      </c>
      <c r="B11" s="35" t="s">
        <v>52</v>
      </c>
    </row>
    <row r="12" spans="1:8" ht="15.75" thickBot="1" x14ac:dyDescent="0.3"/>
    <row r="13" spans="1:8" x14ac:dyDescent="0.25">
      <c r="B13" s="13" t="s">
        <v>152</v>
      </c>
      <c r="C13" s="14" t="s">
        <v>0</v>
      </c>
      <c r="D13" s="15">
        <f>'C - Assumptions'!F8*'C - Assumptions'!F3*100</f>
        <v>232499.99999999994</v>
      </c>
      <c r="F13" s="588"/>
      <c r="G13" s="590" t="s">
        <v>53</v>
      </c>
      <c r="H13" s="591"/>
    </row>
    <row r="14" spans="1:8" ht="15.75" thickBot="1" x14ac:dyDescent="0.3">
      <c r="B14" s="16"/>
      <c r="C14" s="17"/>
      <c r="D14" s="67"/>
      <c r="F14" s="589"/>
      <c r="G14" s="25" t="s">
        <v>5</v>
      </c>
      <c r="H14" s="26" t="s">
        <v>25</v>
      </c>
    </row>
    <row r="15" spans="1:8" x14ac:dyDescent="0.25">
      <c r="B15" s="18" t="s">
        <v>50</v>
      </c>
      <c r="C15" s="17" t="s">
        <v>0</v>
      </c>
      <c r="D15" s="19">
        <f>SUM(D13:D14)</f>
        <v>232499.99999999994</v>
      </c>
      <c r="F15" s="27" t="s">
        <v>33</v>
      </c>
      <c r="G15" s="28">
        <f>H15*G17</f>
        <v>221599.50761849788</v>
      </c>
      <c r="H15" s="29">
        <f>'C - Assumptions'!F10</f>
        <v>0.7</v>
      </c>
    </row>
    <row r="16" spans="1:8" x14ac:dyDescent="0.25">
      <c r="B16" s="16" t="s">
        <v>158</v>
      </c>
      <c r="C16" s="17" t="s">
        <v>0</v>
      </c>
      <c r="D16" s="212">
        <f>735.641928635379*100</f>
        <v>73564.192863537901</v>
      </c>
      <c r="F16" s="30" t="s">
        <v>34</v>
      </c>
      <c r="G16" s="28">
        <f>H16*G17</f>
        <v>94971.217550784801</v>
      </c>
      <c r="H16" s="31">
        <f>'C - Assumptions'!F11</f>
        <v>0.3</v>
      </c>
    </row>
    <row r="17" spans="1:8" ht="15.75" thickBot="1" x14ac:dyDescent="0.3">
      <c r="B17" s="16" t="s">
        <v>156</v>
      </c>
      <c r="C17" s="17" t="s">
        <v>0</v>
      </c>
      <c r="D17" s="212">
        <f>105.065323057449*100</f>
        <v>10506.5323057449</v>
      </c>
      <c r="F17" s="32" t="s">
        <v>2</v>
      </c>
      <c r="G17" s="33">
        <f>D19</f>
        <v>316570.7251692827</v>
      </c>
      <c r="H17" s="34"/>
    </row>
    <row r="18" spans="1:8" ht="15.75" thickBot="1" x14ac:dyDescent="0.3">
      <c r="B18" s="20"/>
      <c r="C18" s="21"/>
      <c r="D18" s="111"/>
    </row>
    <row r="19" spans="1:8" ht="15.75" thickBot="1" x14ac:dyDescent="0.3">
      <c r="B19" s="22" t="s">
        <v>157</v>
      </c>
      <c r="C19" s="23" t="s">
        <v>0</v>
      </c>
      <c r="D19" s="161">
        <f>SUM(D15:D18)</f>
        <v>316570.7251692827</v>
      </c>
    </row>
    <row r="21" spans="1:8" x14ac:dyDescent="0.25">
      <c r="A21" s="307" t="s">
        <v>221</v>
      </c>
      <c r="B21" s="35" t="s">
        <v>51</v>
      </c>
    </row>
    <row r="22" spans="1:8" ht="15.75" thickBot="1" x14ac:dyDescent="0.3"/>
    <row r="23" spans="1:8" x14ac:dyDescent="0.25">
      <c r="B23" s="13" t="s">
        <v>152</v>
      </c>
      <c r="C23" s="526" t="s">
        <v>0</v>
      </c>
      <c r="D23" s="15">
        <f>'C - Assumptions'!E3*'C - Assumptions'!E8*100</f>
        <v>232499.99999999994</v>
      </c>
      <c r="F23" s="588"/>
      <c r="G23" s="590" t="s">
        <v>53</v>
      </c>
      <c r="H23" s="591"/>
    </row>
    <row r="24" spans="1:8" ht="15.75" thickBot="1" x14ac:dyDescent="0.3">
      <c r="B24" s="16"/>
      <c r="C24" s="527"/>
      <c r="D24" s="67"/>
      <c r="F24" s="589"/>
      <c r="G24" s="25" t="s">
        <v>5</v>
      </c>
      <c r="H24" s="26" t="s">
        <v>25</v>
      </c>
    </row>
    <row r="25" spans="1:8" x14ac:dyDescent="0.25">
      <c r="B25" s="18" t="s">
        <v>50</v>
      </c>
      <c r="C25" s="527" t="s">
        <v>0</v>
      </c>
      <c r="D25" s="19">
        <f>SUM(D23:D24)</f>
        <v>232499.99999999994</v>
      </c>
      <c r="F25" s="27" t="s">
        <v>33</v>
      </c>
      <c r="G25" s="28">
        <f>H25*$G$27</f>
        <v>221599.50761849788</v>
      </c>
      <c r="H25" s="29">
        <f>'C - Assumptions'!E10</f>
        <v>0.7</v>
      </c>
    </row>
    <row r="26" spans="1:8" x14ac:dyDescent="0.25">
      <c r="B26" s="16" t="s">
        <v>153</v>
      </c>
      <c r="C26" s="527" t="s">
        <v>0</v>
      </c>
      <c r="D26" s="212">
        <f>735.641928635379*100</f>
        <v>73564.192863537901</v>
      </c>
      <c r="F26" s="30" t="s">
        <v>34</v>
      </c>
      <c r="G26" s="28">
        <f>H26*$G$27</f>
        <v>94971.217550784801</v>
      </c>
      <c r="H26" s="31">
        <f>'C - Assumptions'!E11</f>
        <v>0.3</v>
      </c>
    </row>
    <row r="27" spans="1:8" ht="15.75" thickBot="1" x14ac:dyDescent="0.3">
      <c r="B27" s="16" t="s">
        <v>156</v>
      </c>
      <c r="C27" s="527" t="s">
        <v>0</v>
      </c>
      <c r="D27" s="212">
        <f>105.065323057449*100</f>
        <v>10506.5323057449</v>
      </c>
      <c r="F27" s="32" t="s">
        <v>2</v>
      </c>
      <c r="G27" s="33">
        <f>D29</f>
        <v>316570.7251692827</v>
      </c>
      <c r="H27" s="34"/>
    </row>
    <row r="28" spans="1:8" ht="15.75" thickBot="1" x14ac:dyDescent="0.3">
      <c r="B28" s="162"/>
      <c r="C28" s="528"/>
      <c r="D28" s="120"/>
    </row>
    <row r="29" spans="1:8" ht="15.75" thickBot="1" x14ac:dyDescent="0.3">
      <c r="B29" s="165" t="s">
        <v>157</v>
      </c>
      <c r="C29" s="166" t="s">
        <v>0</v>
      </c>
      <c r="D29" s="167">
        <f>SUM(D25:D28)</f>
        <v>316570.7251692827</v>
      </c>
    </row>
    <row r="31" spans="1:8" x14ac:dyDescent="0.25">
      <c r="A31" s="307" t="s">
        <v>221</v>
      </c>
      <c r="B31" s="35" t="s">
        <v>52</v>
      </c>
    </row>
    <row r="32" spans="1:8" ht="15.75" thickBot="1" x14ac:dyDescent="0.3"/>
    <row r="33" spans="2:8" x14ac:dyDescent="0.25">
      <c r="B33" s="13" t="s">
        <v>152</v>
      </c>
      <c r="C33" s="14" t="s">
        <v>0</v>
      </c>
      <c r="D33" s="15">
        <f>'C - Assumptions'!F8*'C - Assumptions'!F3*100</f>
        <v>232499.99999999994</v>
      </c>
      <c r="F33" s="588"/>
      <c r="G33" s="590" t="s">
        <v>53</v>
      </c>
      <c r="H33" s="591"/>
    </row>
    <row r="34" spans="2:8" ht="15.75" thickBot="1" x14ac:dyDescent="0.3">
      <c r="B34" s="16"/>
      <c r="C34" s="17"/>
      <c r="D34" s="67"/>
      <c r="F34" s="589"/>
      <c r="G34" s="25" t="s">
        <v>5</v>
      </c>
      <c r="H34" s="26" t="s">
        <v>25</v>
      </c>
    </row>
    <row r="35" spans="2:8" x14ac:dyDescent="0.25">
      <c r="B35" s="18" t="s">
        <v>50</v>
      </c>
      <c r="C35" s="17" t="s">
        <v>0</v>
      </c>
      <c r="D35" s="19">
        <f>SUM(D33:D34)</f>
        <v>232499.99999999994</v>
      </c>
      <c r="F35" s="27" t="s">
        <v>33</v>
      </c>
      <c r="G35" s="28">
        <f>H35*$G$37</f>
        <v>221599.50761849788</v>
      </c>
      <c r="H35" s="29">
        <f>'C - Assumptions'!F10</f>
        <v>0.7</v>
      </c>
    </row>
    <row r="36" spans="2:8" x14ac:dyDescent="0.25">
      <c r="B36" s="16" t="s">
        <v>158</v>
      </c>
      <c r="C36" s="529" t="s">
        <v>0</v>
      </c>
      <c r="D36" s="158">
        <f>D26</f>
        <v>73564.192863537901</v>
      </c>
      <c r="F36" s="30" t="s">
        <v>34</v>
      </c>
      <c r="G36" s="28">
        <f>H36*$G$37</f>
        <v>94971.217550784801</v>
      </c>
      <c r="H36" s="31">
        <f>'C - Assumptions'!F11</f>
        <v>0.3</v>
      </c>
    </row>
    <row r="37" spans="2:8" ht="15.75" thickBot="1" x14ac:dyDescent="0.3">
      <c r="B37" s="16" t="s">
        <v>156</v>
      </c>
      <c r="C37" s="529" t="s">
        <v>0</v>
      </c>
      <c r="D37" s="158">
        <f>D27</f>
        <v>10506.5323057449</v>
      </c>
      <c r="F37" s="32" t="s">
        <v>2</v>
      </c>
      <c r="G37" s="33">
        <f>D39</f>
        <v>316570.7251692827</v>
      </c>
      <c r="H37" s="34"/>
    </row>
    <row r="38" spans="2:8" ht="15.75" thickBot="1" x14ac:dyDescent="0.3">
      <c r="B38" s="20"/>
      <c r="C38" s="21"/>
      <c r="D38" s="111"/>
    </row>
    <row r="39" spans="2:8" ht="15.75" thickBot="1" x14ac:dyDescent="0.3">
      <c r="B39" s="22" t="s">
        <v>157</v>
      </c>
      <c r="C39" s="23" t="s">
        <v>0</v>
      </c>
      <c r="D39" s="161">
        <f>SUM(D35:D38)</f>
        <v>316570.7251692827</v>
      </c>
    </row>
  </sheetData>
  <mergeCells count="8">
    <mergeCell ref="F23:F24"/>
    <mergeCell ref="G23:H23"/>
    <mergeCell ref="F33:F34"/>
    <mergeCell ref="G33:H33"/>
    <mergeCell ref="F3:F4"/>
    <mergeCell ref="G3:H3"/>
    <mergeCell ref="F13:F14"/>
    <mergeCell ref="G13:H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DD0B5-11E0-490A-9C7C-1BDA6AEEA654}">
  <sheetPr>
    <tabColor theme="0" tint="-0.499984740745262"/>
  </sheetPr>
  <dimension ref="A1:AB35"/>
  <sheetViews>
    <sheetView workbookViewId="0">
      <selection activeCell="I11" sqref="I11"/>
    </sheetView>
  </sheetViews>
  <sheetFormatPr defaultRowHeight="15" x14ac:dyDescent="0.25"/>
  <cols>
    <col min="1" max="1" width="21" bestFit="1" customWidth="1"/>
    <col min="2" max="2" width="26" style="1" customWidth="1"/>
    <col min="3" max="3" width="14" bestFit="1" customWidth="1"/>
    <col min="4" max="28" width="10.5703125" customWidth="1"/>
  </cols>
  <sheetData>
    <row r="1" spans="1:28" ht="15.75" thickBot="1" x14ac:dyDescent="0.3">
      <c r="A1" s="307" t="s">
        <v>222</v>
      </c>
      <c r="B1" s="36" t="s">
        <v>70</v>
      </c>
      <c r="C1" s="56" t="s">
        <v>23</v>
      </c>
      <c r="D1" s="43">
        <f>'C - Assumptions'!E3</f>
        <v>500</v>
      </c>
    </row>
    <row r="2" spans="1:28" ht="15.75" thickBot="1" x14ac:dyDescent="0.3"/>
    <row r="3" spans="1:28" ht="15.75" thickBot="1" x14ac:dyDescent="0.3">
      <c r="B3" s="52"/>
      <c r="C3" s="53" t="s">
        <v>4</v>
      </c>
      <c r="D3" s="54">
        <v>1</v>
      </c>
      <c r="E3" s="54">
        <v>2</v>
      </c>
      <c r="F3" s="54">
        <v>3</v>
      </c>
      <c r="G3" s="54">
        <v>4</v>
      </c>
      <c r="H3" s="54">
        <v>5</v>
      </c>
      <c r="I3" s="54">
        <v>6</v>
      </c>
      <c r="J3" s="54">
        <v>7</v>
      </c>
      <c r="K3" s="54">
        <v>8</v>
      </c>
      <c r="L3" s="54">
        <v>9</v>
      </c>
      <c r="M3" s="54">
        <v>10</v>
      </c>
      <c r="N3" s="54">
        <v>11</v>
      </c>
      <c r="O3" s="54">
        <v>12</v>
      </c>
      <c r="P3" s="54">
        <v>13</v>
      </c>
      <c r="Q3" s="54">
        <v>14</v>
      </c>
      <c r="R3" s="54">
        <v>15</v>
      </c>
      <c r="S3" s="54">
        <v>16</v>
      </c>
      <c r="T3" s="54">
        <v>17</v>
      </c>
      <c r="U3" s="54">
        <v>18</v>
      </c>
      <c r="V3" s="54">
        <v>19</v>
      </c>
      <c r="W3" s="54">
        <v>20</v>
      </c>
      <c r="X3" s="54">
        <v>21</v>
      </c>
      <c r="Y3" s="54">
        <v>22</v>
      </c>
      <c r="Z3" s="54">
        <v>23</v>
      </c>
      <c r="AA3" s="54">
        <v>24</v>
      </c>
      <c r="AB3" s="53">
        <v>25</v>
      </c>
    </row>
    <row r="4" spans="1:28" x14ac:dyDescent="0.25">
      <c r="B4" s="6" t="s">
        <v>54</v>
      </c>
      <c r="C4" s="3" t="s">
        <v>0</v>
      </c>
      <c r="D4" s="57">
        <f>F14*$D$1</f>
        <v>9040</v>
      </c>
      <c r="E4" s="57">
        <f>G14*$D$1</f>
        <v>9610</v>
      </c>
      <c r="F4" s="57">
        <f>H14*$D$1</f>
        <v>10215</v>
      </c>
      <c r="G4" s="57">
        <f>F4*(1+'C - Assumptions'!$E$20)</f>
        <v>10857.990318640521</v>
      </c>
      <c r="H4" s="57">
        <f>G4*(1+'C - Assumptions'!$E$20)</f>
        <v>11541.454112549318</v>
      </c>
      <c r="I4" s="57">
        <f>H4*(1+'C - Assumptions'!$E$20)</f>
        <v>12267.939012931407</v>
      </c>
      <c r="J4" s="57">
        <f>I4*(1+'C - Assumptions'!$E$20)</f>
        <v>13040.153013419635</v>
      </c>
      <c r="K4" s="57">
        <f>J4*(1+'C - Assumptions'!$E$20)</f>
        <v>13860.974564199845</v>
      </c>
      <c r="L4" s="57">
        <f>K4*(1+'C - Assumptions'!$E$20)</f>
        <v>14733.463301517811</v>
      </c>
      <c r="M4" s="57">
        <f>L4*(1+'C - Assumptions'!$E$20)</f>
        <v>15660.871452562487</v>
      </c>
      <c r="N4" s="57">
        <f>M4*(1+'C - Assumptions'!$E$20)</f>
        <v>16646.65595823761</v>
      </c>
      <c r="O4" s="57">
        <f>N4*(1+'C - Assumptions'!$E$20)</f>
        <v>17694.491359009644</v>
      </c>
      <c r="P4" s="57">
        <f>O4*(1+'C - Assumptions'!$E$20)</f>
        <v>18808.283491864422</v>
      </c>
      <c r="Q4" s="57">
        <f>P4*(1+'C - Assumptions'!$E$20)</f>
        <v>19992.184049428313</v>
      </c>
      <c r="R4" s="57">
        <f>Q4*(1+'C - Assumptions'!$E$20)</f>
        <v>21250.606055523454</v>
      </c>
      <c r="S4" s="57">
        <f>R4*(1+'C - Assumptions'!$E$20)</f>
        <v>22588.240314842613</v>
      </c>
      <c r="T4" s="57">
        <f>S4*(1+'C - Assumptions'!$E$20)</f>
        <v>24010.072898060364</v>
      </c>
      <c r="U4" s="57">
        <f>T4*(1+'C - Assumptions'!$E$20)</f>
        <v>25521.403727556786</v>
      </c>
      <c r="V4" s="57">
        <f>U4*(1+'C - Assumptions'!$E$20)</f>
        <v>27127.866333032569</v>
      </c>
      <c r="W4" s="57">
        <f>V4*(1+'C - Assumptions'!$E$20)</f>
        <v>28835.448850655092</v>
      </c>
      <c r="X4" s="57">
        <f>W4*(1+'C - Assumptions'!$E$20)</f>
        <v>30650.516344010466</v>
      </c>
      <c r="Y4" s="57">
        <f>X4*(1+'C - Assumptions'!$E$20)</f>
        <v>32579.834530063505</v>
      </c>
      <c r="Z4" s="57">
        <f>Y4*(1+'C - Assumptions'!$E$20)</f>
        <v>34630.594998564826</v>
      </c>
      <c r="AA4" s="57">
        <f>Z4*(1+'C - Assumptions'!$E$20)</f>
        <v>36810.442018911184</v>
      </c>
      <c r="AB4" s="58">
        <f>AA4*(1+'C - Assumptions'!$E$20)</f>
        <v>39127.501034382367</v>
      </c>
    </row>
    <row r="5" spans="1:28" ht="30.75" thickBot="1" x14ac:dyDescent="0.3">
      <c r="B5" s="7" t="s">
        <v>55</v>
      </c>
      <c r="C5" s="5" t="s">
        <v>0</v>
      </c>
      <c r="D5" s="59" t="s">
        <v>69</v>
      </c>
      <c r="E5" s="59" t="s">
        <v>69</v>
      </c>
      <c r="F5" s="59" t="s">
        <v>69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</row>
    <row r="6" spans="1:28" ht="15.75" thickBot="1" x14ac:dyDescent="0.3">
      <c r="B6" s="51" t="s">
        <v>67</v>
      </c>
      <c r="C6" s="4" t="s">
        <v>0</v>
      </c>
      <c r="D6" s="61">
        <f>SUM(D4:D5)</f>
        <v>9040</v>
      </c>
      <c r="E6" s="61">
        <f t="shared" ref="E6:AB6" si="0">SUM(E4:E5)</f>
        <v>9610</v>
      </c>
      <c r="F6" s="61">
        <f t="shared" si="0"/>
        <v>10215</v>
      </c>
      <c r="G6" s="61">
        <f t="shared" si="0"/>
        <v>10857.990318640521</v>
      </c>
      <c r="H6" s="61">
        <f t="shared" si="0"/>
        <v>11541.454112549318</v>
      </c>
      <c r="I6" s="61">
        <f t="shared" si="0"/>
        <v>12267.939012931407</v>
      </c>
      <c r="J6" s="61">
        <f t="shared" si="0"/>
        <v>13040.153013419635</v>
      </c>
      <c r="K6" s="61">
        <f t="shared" si="0"/>
        <v>13860.974564199845</v>
      </c>
      <c r="L6" s="61">
        <f t="shared" si="0"/>
        <v>14733.463301517811</v>
      </c>
      <c r="M6" s="61">
        <f t="shared" si="0"/>
        <v>15660.871452562487</v>
      </c>
      <c r="N6" s="61">
        <f t="shared" si="0"/>
        <v>16646.65595823761</v>
      </c>
      <c r="O6" s="61">
        <f t="shared" si="0"/>
        <v>17694.491359009644</v>
      </c>
      <c r="P6" s="61">
        <f t="shared" si="0"/>
        <v>18808.283491864422</v>
      </c>
      <c r="Q6" s="61">
        <f t="shared" si="0"/>
        <v>19992.184049428313</v>
      </c>
      <c r="R6" s="61">
        <f t="shared" si="0"/>
        <v>21250.606055523454</v>
      </c>
      <c r="S6" s="61">
        <f t="shared" si="0"/>
        <v>22588.240314842613</v>
      </c>
      <c r="T6" s="61">
        <f t="shared" si="0"/>
        <v>24010.072898060364</v>
      </c>
      <c r="U6" s="61">
        <f t="shared" si="0"/>
        <v>25521.403727556786</v>
      </c>
      <c r="V6" s="61">
        <f t="shared" si="0"/>
        <v>27127.866333032569</v>
      </c>
      <c r="W6" s="61">
        <f t="shared" si="0"/>
        <v>28835.448850655092</v>
      </c>
      <c r="X6" s="61">
        <f t="shared" si="0"/>
        <v>30650.516344010466</v>
      </c>
      <c r="Y6" s="61">
        <f t="shared" si="0"/>
        <v>32579.834530063505</v>
      </c>
      <c r="Z6" s="61">
        <f t="shared" si="0"/>
        <v>34630.594998564826</v>
      </c>
      <c r="AA6" s="61">
        <f t="shared" si="0"/>
        <v>36810.442018911184</v>
      </c>
      <c r="AB6" s="62">
        <f t="shared" si="0"/>
        <v>39127.501034382367</v>
      </c>
    </row>
    <row r="8" spans="1:28" ht="15.75" thickBot="1" x14ac:dyDescent="0.3">
      <c r="B8" s="2" t="s">
        <v>56</v>
      </c>
    </row>
    <row r="9" spans="1:28" ht="15.75" thickBot="1" x14ac:dyDescent="0.3">
      <c r="B9" s="44"/>
      <c r="C9" s="45"/>
      <c r="D9" s="46" t="s">
        <v>60</v>
      </c>
      <c r="E9" s="46" t="s">
        <v>61</v>
      </c>
      <c r="F9" s="46" t="s">
        <v>57</v>
      </c>
      <c r="G9" s="46" t="s">
        <v>58</v>
      </c>
      <c r="H9" s="45" t="s">
        <v>59</v>
      </c>
      <c r="I9" s="2" t="s">
        <v>68</v>
      </c>
      <c r="J9" s="2"/>
      <c r="K9" s="2"/>
    </row>
    <row r="10" spans="1:28" x14ac:dyDescent="0.25">
      <c r="B10" s="47" t="s">
        <v>62</v>
      </c>
      <c r="C10" s="48" t="s">
        <v>66</v>
      </c>
      <c r="D10" s="49">
        <v>23.9</v>
      </c>
      <c r="E10" s="49">
        <v>25.4</v>
      </c>
      <c r="F10" s="49">
        <v>27</v>
      </c>
      <c r="G10" s="49">
        <v>28.7</v>
      </c>
      <c r="H10" s="50">
        <v>30.51</v>
      </c>
      <c r="I10" s="57">
        <f t="shared" ref="I10:I17" si="1">AVERAGE(E10:H10)</f>
        <v>27.9025</v>
      </c>
    </row>
    <row r="11" spans="1:28" x14ac:dyDescent="0.25">
      <c r="B11" s="6"/>
      <c r="C11" s="3"/>
      <c r="D11" s="37"/>
      <c r="E11" s="38">
        <f>(E10-D10)/D10</f>
        <v>6.2761506276150625E-2</v>
      </c>
      <c r="F11" s="38">
        <f t="shared" ref="F11:H11" si="2">(F10-E10)/E10</f>
        <v>6.2992125984252023E-2</v>
      </c>
      <c r="G11" s="38">
        <f t="shared" si="2"/>
        <v>6.2962962962962943E-2</v>
      </c>
      <c r="H11" s="39">
        <f t="shared" si="2"/>
        <v>6.306620209059241E-2</v>
      </c>
      <c r="I11" s="11">
        <f t="shared" si="1"/>
        <v>6.2945699328489507E-2</v>
      </c>
    </row>
    <row r="12" spans="1:28" x14ac:dyDescent="0.25">
      <c r="B12" s="47" t="s">
        <v>63</v>
      </c>
      <c r="C12" s="48" t="s">
        <v>66</v>
      </c>
      <c r="D12" s="49">
        <v>19.95</v>
      </c>
      <c r="E12" s="49">
        <v>21.21</v>
      </c>
      <c r="F12" s="49">
        <v>22.54</v>
      </c>
      <c r="G12" s="49">
        <v>23.96</v>
      </c>
      <c r="H12" s="50">
        <v>25.47</v>
      </c>
      <c r="I12" s="57">
        <f t="shared" si="1"/>
        <v>23.295000000000002</v>
      </c>
    </row>
    <row r="13" spans="1:28" x14ac:dyDescent="0.25">
      <c r="B13" s="6"/>
      <c r="C13" s="3"/>
      <c r="D13" s="37"/>
      <c r="E13" s="38">
        <f t="shared" ref="E13:H13" si="3">(E12-D12)/D12</f>
        <v>6.3157894736842191E-2</v>
      </c>
      <c r="F13" s="38">
        <f t="shared" si="3"/>
        <v>6.2706270627062619E-2</v>
      </c>
      <c r="G13" s="38">
        <f t="shared" si="3"/>
        <v>6.2999112688553766E-2</v>
      </c>
      <c r="H13" s="39">
        <f t="shared" si="3"/>
        <v>6.3021702838063354E-2</v>
      </c>
      <c r="I13" s="11">
        <f t="shared" si="1"/>
        <v>6.2971245222630479E-2</v>
      </c>
    </row>
    <row r="14" spans="1:28" x14ac:dyDescent="0.25">
      <c r="B14" s="47" t="s">
        <v>64</v>
      </c>
      <c r="C14" s="48" t="s">
        <v>66</v>
      </c>
      <c r="D14" s="49">
        <v>16</v>
      </c>
      <c r="E14" s="49">
        <v>17.010000000000002</v>
      </c>
      <c r="F14" s="49">
        <v>18.079999999999998</v>
      </c>
      <c r="G14" s="49">
        <v>19.22</v>
      </c>
      <c r="H14" s="50">
        <v>20.43</v>
      </c>
      <c r="I14" s="57">
        <f t="shared" si="1"/>
        <v>18.685000000000002</v>
      </c>
    </row>
    <row r="15" spans="1:28" x14ac:dyDescent="0.25">
      <c r="B15" s="6"/>
      <c r="C15" s="3"/>
      <c r="D15" s="37"/>
      <c r="E15" s="38">
        <f t="shared" ref="E15:H15" si="4">(E14-D14)/D14</f>
        <v>6.3125000000000098E-2</v>
      </c>
      <c r="F15" s="38">
        <f t="shared" si="4"/>
        <v>6.2904174015284933E-2</v>
      </c>
      <c r="G15" s="38">
        <f t="shared" si="4"/>
        <v>6.3053097345132786E-2</v>
      </c>
      <c r="H15" s="39">
        <f t="shared" si="4"/>
        <v>6.2955254942768005E-2</v>
      </c>
      <c r="I15" s="11">
        <f t="shared" si="1"/>
        <v>6.3009381575796455E-2</v>
      </c>
    </row>
    <row r="16" spans="1:28" x14ac:dyDescent="0.25">
      <c r="B16" s="47" t="s">
        <v>65</v>
      </c>
      <c r="C16" s="48" t="s">
        <v>66</v>
      </c>
      <c r="D16" s="49">
        <v>14.4</v>
      </c>
      <c r="E16" s="49">
        <v>15.31</v>
      </c>
      <c r="F16" s="49">
        <v>16.27</v>
      </c>
      <c r="G16" s="49">
        <v>17.3</v>
      </c>
      <c r="H16" s="50">
        <v>18.38</v>
      </c>
      <c r="I16" s="57">
        <f t="shared" si="1"/>
        <v>16.814999999999998</v>
      </c>
    </row>
    <row r="17" spans="1:28" ht="15.75" thickBot="1" x14ac:dyDescent="0.3">
      <c r="B17" s="7"/>
      <c r="C17" s="5"/>
      <c r="D17" s="40"/>
      <c r="E17" s="41">
        <f t="shared" ref="E17:H17" si="5">(E16-D16)/D16</f>
        <v>6.3194444444444456E-2</v>
      </c>
      <c r="F17" s="41">
        <f t="shared" si="5"/>
        <v>6.2704114957544022E-2</v>
      </c>
      <c r="G17" s="41">
        <f t="shared" si="5"/>
        <v>6.330669944683473E-2</v>
      </c>
      <c r="H17" s="42">
        <f t="shared" si="5"/>
        <v>6.2427745664739784E-2</v>
      </c>
      <c r="I17" s="11">
        <f t="shared" si="1"/>
        <v>6.2908251128390741E-2</v>
      </c>
    </row>
    <row r="18" spans="1:28" ht="15.75" thickBot="1" x14ac:dyDescent="0.3"/>
    <row r="19" spans="1:28" ht="15.75" thickBot="1" x14ac:dyDescent="0.3">
      <c r="A19" s="307" t="s">
        <v>221</v>
      </c>
      <c r="B19" s="36" t="s">
        <v>70</v>
      </c>
      <c r="C19" s="56" t="s">
        <v>23</v>
      </c>
      <c r="D19" s="43">
        <f>'C - Assumptions'!E3</f>
        <v>500</v>
      </c>
    </row>
    <row r="20" spans="1:28" ht="15.75" thickBot="1" x14ac:dyDescent="0.3"/>
    <row r="21" spans="1:28" s="55" customFormat="1" ht="15.75" thickBot="1" x14ac:dyDescent="0.3">
      <c r="B21" s="52"/>
      <c r="C21" s="53" t="s">
        <v>4</v>
      </c>
      <c r="D21" s="54">
        <v>1</v>
      </c>
      <c r="E21" s="54">
        <v>2</v>
      </c>
      <c r="F21" s="54">
        <v>3</v>
      </c>
      <c r="G21" s="54">
        <v>4</v>
      </c>
      <c r="H21" s="54">
        <v>5</v>
      </c>
      <c r="I21" s="54">
        <v>6</v>
      </c>
      <c r="J21" s="54">
        <v>7</v>
      </c>
      <c r="K21" s="54">
        <v>8</v>
      </c>
      <c r="L21" s="54">
        <v>9</v>
      </c>
      <c r="M21" s="54">
        <v>10</v>
      </c>
      <c r="N21" s="54">
        <v>11</v>
      </c>
      <c r="O21" s="54">
        <v>12</v>
      </c>
      <c r="P21" s="54">
        <v>13</v>
      </c>
      <c r="Q21" s="54">
        <v>14</v>
      </c>
      <c r="R21" s="54">
        <v>15</v>
      </c>
      <c r="S21" s="54">
        <v>16</v>
      </c>
      <c r="T21" s="54">
        <v>17</v>
      </c>
      <c r="U21" s="54">
        <v>18</v>
      </c>
      <c r="V21" s="54">
        <v>19</v>
      </c>
      <c r="W21" s="54">
        <v>20</v>
      </c>
      <c r="X21" s="54">
        <v>21</v>
      </c>
      <c r="Y21" s="54">
        <v>22</v>
      </c>
      <c r="Z21" s="54">
        <v>23</v>
      </c>
      <c r="AA21" s="54">
        <v>24</v>
      </c>
      <c r="AB21" s="53">
        <v>25</v>
      </c>
    </row>
    <row r="22" spans="1:28" x14ac:dyDescent="0.25">
      <c r="B22" s="6" t="s">
        <v>54</v>
      </c>
      <c r="C22" s="3" t="s">
        <v>0</v>
      </c>
      <c r="D22" s="57">
        <f>F32*$D$19</f>
        <v>9040</v>
      </c>
      <c r="E22" s="57">
        <f>G32*$D$19</f>
        <v>9610</v>
      </c>
      <c r="F22" s="57">
        <f>H32*$D$19</f>
        <v>10215</v>
      </c>
      <c r="G22" s="57">
        <f>F22*(1+'C - Assumptions'!$E$20)</f>
        <v>10857.990318640521</v>
      </c>
      <c r="H22" s="57">
        <f>G22*(1+'C - Assumptions'!$E$20)</f>
        <v>11541.454112549318</v>
      </c>
      <c r="I22" s="57">
        <f>H22*(1+'C - Assumptions'!$E$20)</f>
        <v>12267.939012931407</v>
      </c>
      <c r="J22" s="57">
        <f>I22*(1+'C - Assumptions'!$E$20)</f>
        <v>13040.153013419635</v>
      </c>
      <c r="K22" s="57">
        <f>J22*(1+'C - Assumptions'!$E$20)</f>
        <v>13860.974564199845</v>
      </c>
      <c r="L22" s="57">
        <f>K22*(1+'C - Assumptions'!$E$20)</f>
        <v>14733.463301517811</v>
      </c>
      <c r="M22" s="57">
        <f>L22*(1+'C - Assumptions'!$E$20)</f>
        <v>15660.871452562487</v>
      </c>
      <c r="N22" s="57">
        <f>M22*(1+'C - Assumptions'!$E$20)</f>
        <v>16646.65595823761</v>
      </c>
      <c r="O22" s="57">
        <f>N22*(1+'C - Assumptions'!$E$20)</f>
        <v>17694.491359009644</v>
      </c>
      <c r="P22" s="57">
        <f>O22*(1+'C - Assumptions'!$E$20)</f>
        <v>18808.283491864422</v>
      </c>
      <c r="Q22" s="57">
        <f>P22*(1+'C - Assumptions'!$E$20)</f>
        <v>19992.184049428313</v>
      </c>
      <c r="R22" s="57">
        <f>Q22*(1+'C - Assumptions'!$E$20)</f>
        <v>21250.606055523454</v>
      </c>
      <c r="S22" s="57">
        <f>R22*(1+'C - Assumptions'!$E$20)</f>
        <v>22588.240314842613</v>
      </c>
      <c r="T22" s="57">
        <f>S22*(1+'C - Assumptions'!$E$20)</f>
        <v>24010.072898060364</v>
      </c>
      <c r="U22" s="57">
        <f>T22*(1+'C - Assumptions'!$E$20)</f>
        <v>25521.403727556786</v>
      </c>
      <c r="V22" s="57">
        <f>U22*(1+'C - Assumptions'!$E$20)</f>
        <v>27127.866333032569</v>
      </c>
      <c r="W22" s="57">
        <f>V22*(1+'C - Assumptions'!$E$20)</f>
        <v>28835.448850655092</v>
      </c>
      <c r="X22" s="57">
        <f>W22*(1+'C - Assumptions'!$E$20)</f>
        <v>30650.516344010466</v>
      </c>
      <c r="Y22" s="57">
        <f>X22*(1+'C - Assumptions'!$E$20)</f>
        <v>32579.834530063505</v>
      </c>
      <c r="Z22" s="57">
        <f>Y22*(1+'C - Assumptions'!$E$20)</f>
        <v>34630.594998564826</v>
      </c>
      <c r="AA22" s="57">
        <f>Z22*(1+'C - Assumptions'!$E$20)</f>
        <v>36810.442018911184</v>
      </c>
      <c r="AB22" s="58">
        <f>AA22*(1+'C - Assumptions'!$E$20)</f>
        <v>39127.501034382367</v>
      </c>
    </row>
    <row r="23" spans="1:28" ht="30.75" thickBot="1" x14ac:dyDescent="0.3">
      <c r="B23" s="7" t="s">
        <v>55</v>
      </c>
      <c r="C23" s="5" t="s">
        <v>0</v>
      </c>
      <c r="D23" s="59" t="s">
        <v>69</v>
      </c>
      <c r="E23" s="59" t="s">
        <v>69</v>
      </c>
      <c r="F23" s="59" t="s">
        <v>69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</row>
    <row r="24" spans="1:28" s="2" customFormat="1" ht="15.75" thickBot="1" x14ac:dyDescent="0.3">
      <c r="B24" s="51" t="s">
        <v>67</v>
      </c>
      <c r="C24" s="4" t="s">
        <v>0</v>
      </c>
      <c r="D24" s="61">
        <f>SUM(D22:D23)</f>
        <v>9040</v>
      </c>
      <c r="E24" s="61">
        <f t="shared" ref="E24:AB24" si="6">SUM(E22:E23)</f>
        <v>9610</v>
      </c>
      <c r="F24" s="61">
        <f t="shared" si="6"/>
        <v>10215</v>
      </c>
      <c r="G24" s="61">
        <f t="shared" si="6"/>
        <v>10857.990318640521</v>
      </c>
      <c r="H24" s="61">
        <f t="shared" si="6"/>
        <v>11541.454112549318</v>
      </c>
      <c r="I24" s="61">
        <f t="shared" si="6"/>
        <v>12267.939012931407</v>
      </c>
      <c r="J24" s="61">
        <f t="shared" si="6"/>
        <v>13040.153013419635</v>
      </c>
      <c r="K24" s="61">
        <f t="shared" si="6"/>
        <v>13860.974564199845</v>
      </c>
      <c r="L24" s="61">
        <f t="shared" si="6"/>
        <v>14733.463301517811</v>
      </c>
      <c r="M24" s="61">
        <f t="shared" si="6"/>
        <v>15660.871452562487</v>
      </c>
      <c r="N24" s="61">
        <f t="shared" si="6"/>
        <v>16646.65595823761</v>
      </c>
      <c r="O24" s="61">
        <f t="shared" si="6"/>
        <v>17694.491359009644</v>
      </c>
      <c r="P24" s="61">
        <f t="shared" si="6"/>
        <v>18808.283491864422</v>
      </c>
      <c r="Q24" s="61">
        <f t="shared" si="6"/>
        <v>19992.184049428313</v>
      </c>
      <c r="R24" s="61">
        <f t="shared" si="6"/>
        <v>21250.606055523454</v>
      </c>
      <c r="S24" s="61">
        <f t="shared" si="6"/>
        <v>22588.240314842613</v>
      </c>
      <c r="T24" s="61">
        <f t="shared" si="6"/>
        <v>24010.072898060364</v>
      </c>
      <c r="U24" s="61">
        <f t="shared" si="6"/>
        <v>25521.403727556786</v>
      </c>
      <c r="V24" s="61">
        <f t="shared" si="6"/>
        <v>27127.866333032569</v>
      </c>
      <c r="W24" s="61">
        <f t="shared" si="6"/>
        <v>28835.448850655092</v>
      </c>
      <c r="X24" s="61">
        <f t="shared" si="6"/>
        <v>30650.516344010466</v>
      </c>
      <c r="Y24" s="61">
        <f t="shared" si="6"/>
        <v>32579.834530063505</v>
      </c>
      <c r="Z24" s="61">
        <f t="shared" si="6"/>
        <v>34630.594998564826</v>
      </c>
      <c r="AA24" s="61">
        <f t="shared" si="6"/>
        <v>36810.442018911184</v>
      </c>
      <c r="AB24" s="62">
        <f t="shared" si="6"/>
        <v>39127.501034382367</v>
      </c>
    </row>
    <row r="26" spans="1:28" ht="15.75" thickBot="1" x14ac:dyDescent="0.3">
      <c r="B26" s="2" t="s">
        <v>56</v>
      </c>
    </row>
    <row r="27" spans="1:28" ht="15.75" thickBot="1" x14ac:dyDescent="0.3">
      <c r="B27" s="44"/>
      <c r="C27" s="45"/>
      <c r="D27" s="46" t="s">
        <v>60</v>
      </c>
      <c r="E27" s="46" t="s">
        <v>61</v>
      </c>
      <c r="F27" s="46" t="s">
        <v>57</v>
      </c>
      <c r="G27" s="46" t="s">
        <v>58</v>
      </c>
      <c r="H27" s="45" t="s">
        <v>59</v>
      </c>
      <c r="I27" s="2" t="s">
        <v>68</v>
      </c>
      <c r="J27" s="2"/>
      <c r="K27" s="2"/>
    </row>
    <row r="28" spans="1:28" x14ac:dyDescent="0.25">
      <c r="B28" s="47" t="s">
        <v>62</v>
      </c>
      <c r="C28" s="48" t="s">
        <v>66</v>
      </c>
      <c r="D28" s="49">
        <v>23.9</v>
      </c>
      <c r="E28" s="49">
        <v>25.4</v>
      </c>
      <c r="F28" s="49">
        <v>27</v>
      </c>
      <c r="G28" s="49">
        <v>28.7</v>
      </c>
      <c r="H28" s="50">
        <v>30.51</v>
      </c>
      <c r="I28" s="57">
        <f t="shared" ref="I28:I35" si="7">AVERAGE(E28:H28)</f>
        <v>27.9025</v>
      </c>
    </row>
    <row r="29" spans="1:28" x14ac:dyDescent="0.25">
      <c r="B29" s="6"/>
      <c r="C29" s="3"/>
      <c r="D29" s="37"/>
      <c r="E29" s="38">
        <f>(E28-D28)/D28</f>
        <v>6.2761506276150625E-2</v>
      </c>
      <c r="F29" s="38">
        <f t="shared" ref="F29:H29" si="8">(F28-E28)/E28</f>
        <v>6.2992125984252023E-2</v>
      </c>
      <c r="G29" s="38">
        <f t="shared" si="8"/>
        <v>6.2962962962962943E-2</v>
      </c>
      <c r="H29" s="39">
        <f t="shared" si="8"/>
        <v>6.306620209059241E-2</v>
      </c>
      <c r="I29" s="11">
        <f t="shared" si="7"/>
        <v>6.2945699328489507E-2</v>
      </c>
    </row>
    <row r="30" spans="1:28" x14ac:dyDescent="0.25">
      <c r="B30" s="47" t="s">
        <v>63</v>
      </c>
      <c r="C30" s="48" t="s">
        <v>66</v>
      </c>
      <c r="D30" s="49">
        <v>19.95</v>
      </c>
      <c r="E30" s="49">
        <v>21.21</v>
      </c>
      <c r="F30" s="49">
        <v>22.54</v>
      </c>
      <c r="G30" s="49">
        <v>23.96</v>
      </c>
      <c r="H30" s="50">
        <v>25.47</v>
      </c>
      <c r="I30" s="57">
        <f t="shared" si="7"/>
        <v>23.295000000000002</v>
      </c>
    </row>
    <row r="31" spans="1:28" x14ac:dyDescent="0.25">
      <c r="B31" s="6"/>
      <c r="C31" s="3"/>
      <c r="D31" s="37"/>
      <c r="E31" s="38">
        <f t="shared" ref="E31:H31" si="9">(E30-D30)/D30</f>
        <v>6.3157894736842191E-2</v>
      </c>
      <c r="F31" s="38">
        <f t="shared" si="9"/>
        <v>6.2706270627062619E-2</v>
      </c>
      <c r="G31" s="38">
        <f t="shared" si="9"/>
        <v>6.2999112688553766E-2</v>
      </c>
      <c r="H31" s="39">
        <f t="shared" si="9"/>
        <v>6.3021702838063354E-2</v>
      </c>
      <c r="I31" s="11">
        <f t="shared" si="7"/>
        <v>6.2971245222630479E-2</v>
      </c>
    </row>
    <row r="32" spans="1:28" x14ac:dyDescent="0.25">
      <c r="B32" s="47" t="s">
        <v>64</v>
      </c>
      <c r="C32" s="48" t="s">
        <v>66</v>
      </c>
      <c r="D32" s="49">
        <v>16</v>
      </c>
      <c r="E32" s="49">
        <v>17.010000000000002</v>
      </c>
      <c r="F32" s="49">
        <v>18.079999999999998</v>
      </c>
      <c r="G32" s="49">
        <v>19.22</v>
      </c>
      <c r="H32" s="50">
        <v>20.43</v>
      </c>
      <c r="I32" s="57">
        <f t="shared" si="7"/>
        <v>18.685000000000002</v>
      </c>
    </row>
    <row r="33" spans="2:9" x14ac:dyDescent="0.25">
      <c r="B33" s="6"/>
      <c r="C33" s="3"/>
      <c r="D33" s="37"/>
      <c r="E33" s="38">
        <f t="shared" ref="E33:H33" si="10">(E32-D32)/D32</f>
        <v>6.3125000000000098E-2</v>
      </c>
      <c r="F33" s="38">
        <f t="shared" si="10"/>
        <v>6.2904174015284933E-2</v>
      </c>
      <c r="G33" s="38">
        <f t="shared" si="10"/>
        <v>6.3053097345132786E-2</v>
      </c>
      <c r="H33" s="39">
        <f t="shared" si="10"/>
        <v>6.2955254942768005E-2</v>
      </c>
      <c r="I33" s="11">
        <f t="shared" si="7"/>
        <v>6.3009381575796455E-2</v>
      </c>
    </row>
    <row r="34" spans="2:9" x14ac:dyDescent="0.25">
      <c r="B34" s="47" t="s">
        <v>65</v>
      </c>
      <c r="C34" s="48" t="s">
        <v>66</v>
      </c>
      <c r="D34" s="49">
        <v>14.4</v>
      </c>
      <c r="E34" s="49">
        <v>15.31</v>
      </c>
      <c r="F34" s="49">
        <v>16.27</v>
      </c>
      <c r="G34" s="49">
        <v>17.3</v>
      </c>
      <c r="H34" s="50">
        <v>18.38</v>
      </c>
      <c r="I34" s="57">
        <f t="shared" si="7"/>
        <v>16.814999999999998</v>
      </c>
    </row>
    <row r="35" spans="2:9" ht="15.75" thickBot="1" x14ac:dyDescent="0.3">
      <c r="B35" s="7"/>
      <c r="C35" s="5"/>
      <c r="D35" s="40"/>
      <c r="E35" s="41">
        <f t="shared" ref="E35" si="11">(E34-D34)/D34</f>
        <v>6.3194444444444456E-2</v>
      </c>
      <c r="F35" s="41">
        <f t="shared" ref="F35" si="12">(F34-E34)/E34</f>
        <v>6.2704114957544022E-2</v>
      </c>
      <c r="G35" s="41">
        <f t="shared" ref="G35" si="13">(G34-F34)/F34</f>
        <v>6.330669944683473E-2</v>
      </c>
      <c r="H35" s="42">
        <f t="shared" ref="H35" si="14">(H34-G34)/G34</f>
        <v>6.2427745664739784E-2</v>
      </c>
      <c r="I35" s="11">
        <f t="shared" si="7"/>
        <v>6.2908251128390741E-2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157-A4D3-440D-A4C3-E9F7DBFD9D76}">
  <sheetPr>
    <tabColor theme="0" tint="-0.499984740745262"/>
  </sheetPr>
  <dimension ref="A1:AB35"/>
  <sheetViews>
    <sheetView topLeftCell="A23" workbookViewId="0">
      <selection activeCell="N47" sqref="A1:XFD1048576"/>
    </sheetView>
  </sheetViews>
  <sheetFormatPr defaultRowHeight="15" x14ac:dyDescent="0.25"/>
  <cols>
    <col min="1" max="1" width="21" bestFit="1" customWidth="1"/>
    <col min="2" max="2" width="31.7109375" bestFit="1" customWidth="1"/>
    <col min="3" max="3" width="9.28515625" bestFit="1" customWidth="1"/>
    <col min="4" max="5" width="10.5703125" bestFit="1" customWidth="1"/>
    <col min="6" max="28" width="10.28515625" bestFit="1" customWidth="1"/>
  </cols>
  <sheetData>
    <row r="1" spans="1:28" x14ac:dyDescent="0.25">
      <c r="A1" s="307" t="s">
        <v>222</v>
      </c>
      <c r="B1" s="35" t="s">
        <v>51</v>
      </c>
    </row>
    <row r="2" spans="1:28" ht="15.75" thickBot="1" x14ac:dyDescent="0.3"/>
    <row r="3" spans="1:28" ht="15.75" thickBot="1" x14ac:dyDescent="0.3">
      <c r="B3" s="79"/>
      <c r="C3" s="80" t="s">
        <v>4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2">
        <v>10</v>
      </c>
      <c r="N3" s="82">
        <v>11</v>
      </c>
      <c r="O3" s="82">
        <v>12</v>
      </c>
      <c r="P3" s="82">
        <v>13</v>
      </c>
      <c r="Q3" s="82">
        <v>14</v>
      </c>
      <c r="R3" s="82">
        <v>15</v>
      </c>
      <c r="S3" s="82">
        <v>16</v>
      </c>
      <c r="T3" s="82">
        <v>17</v>
      </c>
      <c r="U3" s="82">
        <v>18</v>
      </c>
      <c r="V3" s="82">
        <v>19</v>
      </c>
      <c r="W3" s="82">
        <v>20</v>
      </c>
      <c r="X3" s="82">
        <v>21</v>
      </c>
      <c r="Y3" s="82">
        <v>22</v>
      </c>
      <c r="Z3" s="82">
        <v>23</v>
      </c>
      <c r="AA3" s="82">
        <v>24</v>
      </c>
      <c r="AB3" s="83">
        <v>25</v>
      </c>
    </row>
    <row r="4" spans="1:28" x14ac:dyDescent="0.25">
      <c r="B4" s="74" t="s">
        <v>159</v>
      </c>
      <c r="C4" s="75" t="s">
        <v>0</v>
      </c>
      <c r="D4" s="76">
        <f>'C - Capital Cost'!$G$6</f>
        <v>94971.217550784801</v>
      </c>
      <c r="E4" s="77">
        <f>D4</f>
        <v>94971.217550784801</v>
      </c>
      <c r="F4" s="77">
        <f t="shared" ref="F4:AB4" si="0">E4</f>
        <v>94971.217550784801</v>
      </c>
      <c r="G4" s="77">
        <f t="shared" si="0"/>
        <v>94971.217550784801</v>
      </c>
      <c r="H4" s="77">
        <f t="shared" si="0"/>
        <v>94971.217550784801</v>
      </c>
      <c r="I4" s="77">
        <f t="shared" si="0"/>
        <v>94971.217550784801</v>
      </c>
      <c r="J4" s="77">
        <f t="shared" si="0"/>
        <v>94971.217550784801</v>
      </c>
      <c r="K4" s="77">
        <f t="shared" si="0"/>
        <v>94971.217550784801</v>
      </c>
      <c r="L4" s="77">
        <f t="shared" si="0"/>
        <v>94971.217550784801</v>
      </c>
      <c r="M4" s="77">
        <f t="shared" si="0"/>
        <v>94971.217550784801</v>
      </c>
      <c r="N4" s="77">
        <f t="shared" si="0"/>
        <v>94971.217550784801</v>
      </c>
      <c r="O4" s="77">
        <f t="shared" si="0"/>
        <v>94971.217550784801</v>
      </c>
      <c r="P4" s="77">
        <f t="shared" si="0"/>
        <v>94971.217550784801</v>
      </c>
      <c r="Q4" s="77">
        <f t="shared" si="0"/>
        <v>94971.217550784801</v>
      </c>
      <c r="R4" s="77">
        <f t="shared" si="0"/>
        <v>94971.217550784801</v>
      </c>
      <c r="S4" s="77">
        <f t="shared" si="0"/>
        <v>94971.217550784801</v>
      </c>
      <c r="T4" s="77">
        <f t="shared" si="0"/>
        <v>94971.217550784801</v>
      </c>
      <c r="U4" s="77">
        <f t="shared" si="0"/>
        <v>94971.217550784801</v>
      </c>
      <c r="V4" s="77">
        <f t="shared" si="0"/>
        <v>94971.217550784801</v>
      </c>
      <c r="W4" s="77">
        <f t="shared" si="0"/>
        <v>94971.217550784801</v>
      </c>
      <c r="X4" s="77">
        <f t="shared" si="0"/>
        <v>94971.217550784801</v>
      </c>
      <c r="Y4" s="77">
        <f t="shared" si="0"/>
        <v>94971.217550784801</v>
      </c>
      <c r="Z4" s="77">
        <f t="shared" si="0"/>
        <v>94971.217550784801</v>
      </c>
      <c r="AA4" s="77">
        <f t="shared" si="0"/>
        <v>94971.217550784801</v>
      </c>
      <c r="AB4" s="78">
        <f t="shared" si="0"/>
        <v>94971.217550784801</v>
      </c>
    </row>
    <row r="5" spans="1:28" x14ac:dyDescent="0.25">
      <c r="B5" s="66" t="s">
        <v>71</v>
      </c>
      <c r="C5" s="73" t="s">
        <v>25</v>
      </c>
      <c r="D5" s="71">
        <f>'C - Assumptions'!$E$15</f>
        <v>0.155</v>
      </c>
      <c r="E5" s="64">
        <f>D5</f>
        <v>0.155</v>
      </c>
      <c r="F5" s="64">
        <f t="shared" ref="F5:AB5" si="1">E5</f>
        <v>0.155</v>
      </c>
      <c r="G5" s="64">
        <f t="shared" si="1"/>
        <v>0.155</v>
      </c>
      <c r="H5" s="64">
        <f t="shared" si="1"/>
        <v>0.155</v>
      </c>
      <c r="I5" s="64">
        <f t="shared" si="1"/>
        <v>0.155</v>
      </c>
      <c r="J5" s="64">
        <f t="shared" si="1"/>
        <v>0.155</v>
      </c>
      <c r="K5" s="64">
        <f t="shared" si="1"/>
        <v>0.155</v>
      </c>
      <c r="L5" s="64">
        <f t="shared" si="1"/>
        <v>0.155</v>
      </c>
      <c r="M5" s="64">
        <f t="shared" si="1"/>
        <v>0.155</v>
      </c>
      <c r="N5" s="64">
        <f t="shared" si="1"/>
        <v>0.155</v>
      </c>
      <c r="O5" s="64">
        <f t="shared" si="1"/>
        <v>0.155</v>
      </c>
      <c r="P5" s="64">
        <f t="shared" si="1"/>
        <v>0.155</v>
      </c>
      <c r="Q5" s="64">
        <f t="shared" si="1"/>
        <v>0.155</v>
      </c>
      <c r="R5" s="64">
        <f t="shared" si="1"/>
        <v>0.155</v>
      </c>
      <c r="S5" s="64">
        <f t="shared" si="1"/>
        <v>0.155</v>
      </c>
      <c r="T5" s="64">
        <f t="shared" si="1"/>
        <v>0.155</v>
      </c>
      <c r="U5" s="64">
        <f t="shared" si="1"/>
        <v>0.155</v>
      </c>
      <c r="V5" s="64">
        <f t="shared" si="1"/>
        <v>0.155</v>
      </c>
      <c r="W5" s="64">
        <f t="shared" si="1"/>
        <v>0.155</v>
      </c>
      <c r="X5" s="64">
        <f t="shared" si="1"/>
        <v>0.155</v>
      </c>
      <c r="Y5" s="64">
        <f t="shared" si="1"/>
        <v>0.155</v>
      </c>
      <c r="Z5" s="64">
        <f t="shared" si="1"/>
        <v>0.155</v>
      </c>
      <c r="AA5" s="64">
        <f t="shared" si="1"/>
        <v>0.155</v>
      </c>
      <c r="AB5" s="68">
        <f t="shared" si="1"/>
        <v>0.155</v>
      </c>
    </row>
    <row r="6" spans="1:28" x14ac:dyDescent="0.25">
      <c r="B6" s="66" t="s">
        <v>72</v>
      </c>
      <c r="C6" s="73" t="s">
        <v>25</v>
      </c>
      <c r="D6" s="72">
        <f>'C - Assumptions'!$E$14</f>
        <v>0.21342</v>
      </c>
      <c r="E6" s="65">
        <f>D6</f>
        <v>0.21342</v>
      </c>
      <c r="F6" s="65">
        <f t="shared" ref="F6:AB6" si="2">E6</f>
        <v>0.21342</v>
      </c>
      <c r="G6" s="65">
        <f t="shared" si="2"/>
        <v>0.21342</v>
      </c>
      <c r="H6" s="65">
        <f t="shared" si="2"/>
        <v>0.21342</v>
      </c>
      <c r="I6" s="65">
        <f t="shared" si="2"/>
        <v>0.21342</v>
      </c>
      <c r="J6" s="65">
        <f t="shared" si="2"/>
        <v>0.21342</v>
      </c>
      <c r="K6" s="65">
        <f t="shared" si="2"/>
        <v>0.21342</v>
      </c>
      <c r="L6" s="65">
        <f t="shared" si="2"/>
        <v>0.21342</v>
      </c>
      <c r="M6" s="65">
        <f t="shared" si="2"/>
        <v>0.21342</v>
      </c>
      <c r="N6" s="65">
        <f t="shared" si="2"/>
        <v>0.21342</v>
      </c>
      <c r="O6" s="65">
        <f t="shared" si="2"/>
        <v>0.21342</v>
      </c>
      <c r="P6" s="65">
        <f t="shared" si="2"/>
        <v>0.21342</v>
      </c>
      <c r="Q6" s="65">
        <f t="shared" si="2"/>
        <v>0.21342</v>
      </c>
      <c r="R6" s="65">
        <f t="shared" si="2"/>
        <v>0.21342</v>
      </c>
      <c r="S6" s="65">
        <f t="shared" si="2"/>
        <v>0.21342</v>
      </c>
      <c r="T6" s="65">
        <f t="shared" si="2"/>
        <v>0.21342</v>
      </c>
      <c r="U6" s="65">
        <f t="shared" si="2"/>
        <v>0.21342</v>
      </c>
      <c r="V6" s="65">
        <f t="shared" si="2"/>
        <v>0.21342</v>
      </c>
      <c r="W6" s="65">
        <f t="shared" si="2"/>
        <v>0.21342</v>
      </c>
      <c r="X6" s="65">
        <f t="shared" si="2"/>
        <v>0.21342</v>
      </c>
      <c r="Y6" s="65">
        <f t="shared" si="2"/>
        <v>0.21342</v>
      </c>
      <c r="Z6" s="65">
        <f t="shared" si="2"/>
        <v>0.21342</v>
      </c>
      <c r="AA6" s="65">
        <f t="shared" si="2"/>
        <v>0.21342</v>
      </c>
      <c r="AB6" s="69">
        <f t="shared" si="2"/>
        <v>0.21342</v>
      </c>
    </row>
    <row r="7" spans="1:28" x14ac:dyDescent="0.25">
      <c r="B7" s="89" t="s">
        <v>73</v>
      </c>
      <c r="C7" s="90" t="s">
        <v>25</v>
      </c>
      <c r="D7" s="94">
        <f>D5/(1-D6)</f>
        <v>0.19705560782120063</v>
      </c>
      <c r="E7" s="95">
        <f t="shared" ref="E7:AB7" si="3">E5/(1-E6)</f>
        <v>0.19705560782120063</v>
      </c>
      <c r="F7" s="95">
        <f t="shared" si="3"/>
        <v>0.19705560782120063</v>
      </c>
      <c r="G7" s="95">
        <f t="shared" si="3"/>
        <v>0.19705560782120063</v>
      </c>
      <c r="H7" s="95">
        <f t="shared" si="3"/>
        <v>0.19705560782120063</v>
      </c>
      <c r="I7" s="95">
        <f t="shared" si="3"/>
        <v>0.19705560782120063</v>
      </c>
      <c r="J7" s="95">
        <f t="shared" si="3"/>
        <v>0.19705560782120063</v>
      </c>
      <c r="K7" s="95">
        <f t="shared" si="3"/>
        <v>0.19705560782120063</v>
      </c>
      <c r="L7" s="95">
        <f t="shared" si="3"/>
        <v>0.19705560782120063</v>
      </c>
      <c r="M7" s="95">
        <f t="shared" si="3"/>
        <v>0.19705560782120063</v>
      </c>
      <c r="N7" s="95">
        <f t="shared" si="3"/>
        <v>0.19705560782120063</v>
      </c>
      <c r="O7" s="95">
        <f t="shared" si="3"/>
        <v>0.19705560782120063</v>
      </c>
      <c r="P7" s="95">
        <f t="shared" si="3"/>
        <v>0.19705560782120063</v>
      </c>
      <c r="Q7" s="95">
        <f t="shared" si="3"/>
        <v>0.19705560782120063</v>
      </c>
      <c r="R7" s="95">
        <f t="shared" si="3"/>
        <v>0.19705560782120063</v>
      </c>
      <c r="S7" s="95">
        <f t="shared" si="3"/>
        <v>0.19705560782120063</v>
      </c>
      <c r="T7" s="95">
        <f t="shared" si="3"/>
        <v>0.19705560782120063</v>
      </c>
      <c r="U7" s="95">
        <f t="shared" si="3"/>
        <v>0.19705560782120063</v>
      </c>
      <c r="V7" s="95">
        <f t="shared" si="3"/>
        <v>0.19705560782120063</v>
      </c>
      <c r="W7" s="95">
        <f t="shared" si="3"/>
        <v>0.19705560782120063</v>
      </c>
      <c r="X7" s="95">
        <f t="shared" si="3"/>
        <v>0.19705560782120063</v>
      </c>
      <c r="Y7" s="95">
        <f t="shared" si="3"/>
        <v>0.19705560782120063</v>
      </c>
      <c r="Z7" s="95">
        <f t="shared" si="3"/>
        <v>0.19705560782120063</v>
      </c>
      <c r="AA7" s="95">
        <f t="shared" si="3"/>
        <v>0.19705560782120063</v>
      </c>
      <c r="AB7" s="96">
        <f t="shared" si="3"/>
        <v>0.19705560782120063</v>
      </c>
    </row>
    <row r="8" spans="1:28" ht="15.75" thickBot="1" x14ac:dyDescent="0.3">
      <c r="B8" s="84" t="s">
        <v>74</v>
      </c>
      <c r="C8" s="85" t="s">
        <v>0</v>
      </c>
      <c r="D8" s="86">
        <f>D7*D4</f>
        <v>18714.610999989374</v>
      </c>
      <c r="E8" s="87">
        <f t="shared" ref="E8:AB8" si="4">E7*E4</f>
        <v>18714.610999989374</v>
      </c>
      <c r="F8" s="87">
        <f t="shared" si="4"/>
        <v>18714.610999989374</v>
      </c>
      <c r="G8" s="87">
        <f t="shared" si="4"/>
        <v>18714.610999989374</v>
      </c>
      <c r="H8" s="87">
        <f t="shared" si="4"/>
        <v>18714.610999989374</v>
      </c>
      <c r="I8" s="87">
        <f t="shared" si="4"/>
        <v>18714.610999989374</v>
      </c>
      <c r="J8" s="87">
        <f t="shared" si="4"/>
        <v>18714.610999989374</v>
      </c>
      <c r="K8" s="87">
        <f t="shared" si="4"/>
        <v>18714.610999989374</v>
      </c>
      <c r="L8" s="87">
        <f t="shared" si="4"/>
        <v>18714.610999989374</v>
      </c>
      <c r="M8" s="87">
        <f t="shared" si="4"/>
        <v>18714.610999989374</v>
      </c>
      <c r="N8" s="87">
        <f t="shared" si="4"/>
        <v>18714.610999989374</v>
      </c>
      <c r="O8" s="87">
        <f t="shared" si="4"/>
        <v>18714.610999989374</v>
      </c>
      <c r="P8" s="87">
        <f t="shared" si="4"/>
        <v>18714.610999989374</v>
      </c>
      <c r="Q8" s="87">
        <f t="shared" si="4"/>
        <v>18714.610999989374</v>
      </c>
      <c r="R8" s="87">
        <f t="shared" si="4"/>
        <v>18714.610999989374</v>
      </c>
      <c r="S8" s="87">
        <f t="shared" si="4"/>
        <v>18714.610999989374</v>
      </c>
      <c r="T8" s="87">
        <f t="shared" si="4"/>
        <v>18714.610999989374</v>
      </c>
      <c r="U8" s="87">
        <f t="shared" si="4"/>
        <v>18714.610999989374</v>
      </c>
      <c r="V8" s="87">
        <f t="shared" si="4"/>
        <v>18714.610999989374</v>
      </c>
      <c r="W8" s="87">
        <f t="shared" si="4"/>
        <v>18714.610999989374</v>
      </c>
      <c r="X8" s="87">
        <f t="shared" si="4"/>
        <v>18714.610999989374</v>
      </c>
      <c r="Y8" s="87">
        <f t="shared" si="4"/>
        <v>18714.610999989374</v>
      </c>
      <c r="Z8" s="87">
        <f t="shared" si="4"/>
        <v>18714.610999989374</v>
      </c>
      <c r="AA8" s="87">
        <f t="shared" si="4"/>
        <v>18714.610999989374</v>
      </c>
      <c r="AB8" s="88">
        <f t="shared" si="4"/>
        <v>18714.610999989374</v>
      </c>
    </row>
    <row r="10" spans="1:28" x14ac:dyDescent="0.25">
      <c r="A10" s="307" t="s">
        <v>222</v>
      </c>
      <c r="B10" s="35" t="s">
        <v>52</v>
      </c>
    </row>
    <row r="11" spans="1:28" ht="15.75" thickBot="1" x14ac:dyDescent="0.3"/>
    <row r="12" spans="1:28" ht="15.75" thickBot="1" x14ac:dyDescent="0.3">
      <c r="B12" s="79"/>
      <c r="C12" s="80" t="s">
        <v>4</v>
      </c>
      <c r="D12" s="81">
        <v>1</v>
      </c>
      <c r="E12" s="82">
        <v>2</v>
      </c>
      <c r="F12" s="82">
        <v>3</v>
      </c>
      <c r="G12" s="82">
        <v>4</v>
      </c>
      <c r="H12" s="82">
        <v>5</v>
      </c>
      <c r="I12" s="82">
        <v>6</v>
      </c>
      <c r="J12" s="82">
        <v>7</v>
      </c>
      <c r="K12" s="82">
        <v>8</v>
      </c>
      <c r="L12" s="82">
        <v>9</v>
      </c>
      <c r="M12" s="82">
        <v>10</v>
      </c>
      <c r="N12" s="82">
        <v>11</v>
      </c>
      <c r="O12" s="82">
        <v>12</v>
      </c>
      <c r="P12" s="82">
        <v>13</v>
      </c>
      <c r="Q12" s="82">
        <v>14</v>
      </c>
      <c r="R12" s="82">
        <v>15</v>
      </c>
      <c r="S12" s="82">
        <v>16</v>
      </c>
      <c r="T12" s="82">
        <v>17</v>
      </c>
      <c r="U12" s="82">
        <v>18</v>
      </c>
      <c r="V12" s="82">
        <v>19</v>
      </c>
      <c r="W12" s="82">
        <v>20</v>
      </c>
      <c r="X12" s="82">
        <v>21</v>
      </c>
      <c r="Y12" s="82">
        <v>22</v>
      </c>
      <c r="Z12" s="82">
        <v>23</v>
      </c>
      <c r="AA12" s="82">
        <v>24</v>
      </c>
      <c r="AB12" s="83">
        <v>25</v>
      </c>
    </row>
    <row r="13" spans="1:28" x14ac:dyDescent="0.25">
      <c r="B13" s="74" t="s">
        <v>159</v>
      </c>
      <c r="C13" s="75" t="s">
        <v>0</v>
      </c>
      <c r="D13" s="76">
        <f>'C - Capital Cost'!$G$16</f>
        <v>94971.217550784801</v>
      </c>
      <c r="E13" s="77">
        <f>D13</f>
        <v>94971.217550784801</v>
      </c>
      <c r="F13" s="77">
        <f t="shared" ref="F13:AB13" si="5">E13</f>
        <v>94971.217550784801</v>
      </c>
      <c r="G13" s="77">
        <f t="shared" si="5"/>
        <v>94971.217550784801</v>
      </c>
      <c r="H13" s="77">
        <f t="shared" si="5"/>
        <v>94971.217550784801</v>
      </c>
      <c r="I13" s="77">
        <f t="shared" si="5"/>
        <v>94971.217550784801</v>
      </c>
      <c r="J13" s="77">
        <f t="shared" si="5"/>
        <v>94971.217550784801</v>
      </c>
      <c r="K13" s="77">
        <f t="shared" si="5"/>
        <v>94971.217550784801</v>
      </c>
      <c r="L13" s="77">
        <f t="shared" si="5"/>
        <v>94971.217550784801</v>
      </c>
      <c r="M13" s="77">
        <f t="shared" si="5"/>
        <v>94971.217550784801</v>
      </c>
      <c r="N13" s="77">
        <f t="shared" si="5"/>
        <v>94971.217550784801</v>
      </c>
      <c r="O13" s="77">
        <f t="shared" si="5"/>
        <v>94971.217550784801</v>
      </c>
      <c r="P13" s="77">
        <f t="shared" si="5"/>
        <v>94971.217550784801</v>
      </c>
      <c r="Q13" s="77">
        <f t="shared" si="5"/>
        <v>94971.217550784801</v>
      </c>
      <c r="R13" s="77">
        <f t="shared" si="5"/>
        <v>94971.217550784801</v>
      </c>
      <c r="S13" s="77">
        <f t="shared" si="5"/>
        <v>94971.217550784801</v>
      </c>
      <c r="T13" s="77">
        <f t="shared" si="5"/>
        <v>94971.217550784801</v>
      </c>
      <c r="U13" s="77">
        <f t="shared" si="5"/>
        <v>94971.217550784801</v>
      </c>
      <c r="V13" s="77">
        <f t="shared" si="5"/>
        <v>94971.217550784801</v>
      </c>
      <c r="W13" s="77">
        <f t="shared" si="5"/>
        <v>94971.217550784801</v>
      </c>
      <c r="X13" s="77">
        <f t="shared" si="5"/>
        <v>94971.217550784801</v>
      </c>
      <c r="Y13" s="77">
        <f t="shared" si="5"/>
        <v>94971.217550784801</v>
      </c>
      <c r="Z13" s="77">
        <f t="shared" si="5"/>
        <v>94971.217550784801</v>
      </c>
      <c r="AA13" s="77">
        <f t="shared" si="5"/>
        <v>94971.217550784801</v>
      </c>
      <c r="AB13" s="78">
        <f t="shared" si="5"/>
        <v>94971.217550784801</v>
      </c>
    </row>
    <row r="14" spans="1:28" x14ac:dyDescent="0.25">
      <c r="B14" s="66" t="s">
        <v>71</v>
      </c>
      <c r="C14" s="73" t="s">
        <v>25</v>
      </c>
      <c r="D14" s="71">
        <f>'C - Assumptions'!$F$15</f>
        <v>0.155</v>
      </c>
      <c r="E14" s="64">
        <f>D14</f>
        <v>0.155</v>
      </c>
      <c r="F14" s="64">
        <f t="shared" ref="F14:AB14" si="6">E14</f>
        <v>0.155</v>
      </c>
      <c r="G14" s="64">
        <f t="shared" si="6"/>
        <v>0.155</v>
      </c>
      <c r="H14" s="64">
        <f t="shared" si="6"/>
        <v>0.155</v>
      </c>
      <c r="I14" s="64">
        <f t="shared" si="6"/>
        <v>0.155</v>
      </c>
      <c r="J14" s="64">
        <f t="shared" si="6"/>
        <v>0.155</v>
      </c>
      <c r="K14" s="64">
        <f t="shared" si="6"/>
        <v>0.155</v>
      </c>
      <c r="L14" s="64">
        <f t="shared" si="6"/>
        <v>0.155</v>
      </c>
      <c r="M14" s="64">
        <f t="shared" si="6"/>
        <v>0.155</v>
      </c>
      <c r="N14" s="64">
        <f t="shared" si="6"/>
        <v>0.155</v>
      </c>
      <c r="O14" s="64">
        <f t="shared" si="6"/>
        <v>0.155</v>
      </c>
      <c r="P14" s="64">
        <f t="shared" si="6"/>
        <v>0.155</v>
      </c>
      <c r="Q14" s="64">
        <f t="shared" si="6"/>
        <v>0.155</v>
      </c>
      <c r="R14" s="64">
        <f t="shared" si="6"/>
        <v>0.155</v>
      </c>
      <c r="S14" s="64">
        <f t="shared" si="6"/>
        <v>0.155</v>
      </c>
      <c r="T14" s="64">
        <f t="shared" si="6"/>
        <v>0.155</v>
      </c>
      <c r="U14" s="64">
        <f t="shared" si="6"/>
        <v>0.155</v>
      </c>
      <c r="V14" s="64">
        <f t="shared" si="6"/>
        <v>0.155</v>
      </c>
      <c r="W14" s="64">
        <f t="shared" si="6"/>
        <v>0.155</v>
      </c>
      <c r="X14" s="64">
        <f t="shared" si="6"/>
        <v>0.155</v>
      </c>
      <c r="Y14" s="64">
        <f t="shared" si="6"/>
        <v>0.155</v>
      </c>
      <c r="Z14" s="64">
        <f t="shared" si="6"/>
        <v>0.155</v>
      </c>
      <c r="AA14" s="64">
        <f t="shared" si="6"/>
        <v>0.155</v>
      </c>
      <c r="AB14" s="68">
        <f t="shared" si="6"/>
        <v>0.155</v>
      </c>
    </row>
    <row r="15" spans="1:28" x14ac:dyDescent="0.25">
      <c r="B15" s="66" t="s">
        <v>72</v>
      </c>
      <c r="C15" s="73" t="s">
        <v>25</v>
      </c>
      <c r="D15" s="72">
        <f>'C - Assumptions'!$F$14</f>
        <v>0.21342</v>
      </c>
      <c r="E15" s="65">
        <f>D15</f>
        <v>0.21342</v>
      </c>
      <c r="F15" s="65">
        <f t="shared" ref="F15:AB15" si="7">E15</f>
        <v>0.21342</v>
      </c>
      <c r="G15" s="65">
        <f t="shared" si="7"/>
        <v>0.21342</v>
      </c>
      <c r="H15" s="65">
        <f t="shared" si="7"/>
        <v>0.21342</v>
      </c>
      <c r="I15" s="65">
        <f t="shared" si="7"/>
        <v>0.21342</v>
      </c>
      <c r="J15" s="65">
        <f t="shared" si="7"/>
        <v>0.21342</v>
      </c>
      <c r="K15" s="65">
        <f t="shared" si="7"/>
        <v>0.21342</v>
      </c>
      <c r="L15" s="65">
        <f t="shared" si="7"/>
        <v>0.21342</v>
      </c>
      <c r="M15" s="65">
        <f t="shared" si="7"/>
        <v>0.21342</v>
      </c>
      <c r="N15" s="65">
        <f t="shared" si="7"/>
        <v>0.21342</v>
      </c>
      <c r="O15" s="65">
        <f t="shared" si="7"/>
        <v>0.21342</v>
      </c>
      <c r="P15" s="65">
        <f t="shared" si="7"/>
        <v>0.21342</v>
      </c>
      <c r="Q15" s="65">
        <f t="shared" si="7"/>
        <v>0.21342</v>
      </c>
      <c r="R15" s="65">
        <f t="shared" si="7"/>
        <v>0.21342</v>
      </c>
      <c r="S15" s="65">
        <f t="shared" si="7"/>
        <v>0.21342</v>
      </c>
      <c r="T15" s="65">
        <f t="shared" si="7"/>
        <v>0.21342</v>
      </c>
      <c r="U15" s="65">
        <f t="shared" si="7"/>
        <v>0.21342</v>
      </c>
      <c r="V15" s="65">
        <f t="shared" si="7"/>
        <v>0.21342</v>
      </c>
      <c r="W15" s="65">
        <f t="shared" si="7"/>
        <v>0.21342</v>
      </c>
      <c r="X15" s="65">
        <f t="shared" si="7"/>
        <v>0.21342</v>
      </c>
      <c r="Y15" s="65">
        <f t="shared" si="7"/>
        <v>0.21342</v>
      </c>
      <c r="Z15" s="65">
        <f t="shared" si="7"/>
        <v>0.21342</v>
      </c>
      <c r="AA15" s="65">
        <f t="shared" si="7"/>
        <v>0.21342</v>
      </c>
      <c r="AB15" s="69">
        <f t="shared" si="7"/>
        <v>0.21342</v>
      </c>
    </row>
    <row r="16" spans="1:28" x14ac:dyDescent="0.25">
      <c r="B16" s="89" t="s">
        <v>73</v>
      </c>
      <c r="C16" s="90" t="s">
        <v>25</v>
      </c>
      <c r="D16" s="94">
        <f>D14/(1-D15)</f>
        <v>0.19705560782120063</v>
      </c>
      <c r="E16" s="95">
        <f t="shared" ref="E16:AB16" si="8">E14/(1-E15)</f>
        <v>0.19705560782120063</v>
      </c>
      <c r="F16" s="95">
        <f t="shared" si="8"/>
        <v>0.19705560782120063</v>
      </c>
      <c r="G16" s="95">
        <f t="shared" si="8"/>
        <v>0.19705560782120063</v>
      </c>
      <c r="H16" s="95">
        <f t="shared" si="8"/>
        <v>0.19705560782120063</v>
      </c>
      <c r="I16" s="95">
        <f t="shared" si="8"/>
        <v>0.19705560782120063</v>
      </c>
      <c r="J16" s="95">
        <f t="shared" si="8"/>
        <v>0.19705560782120063</v>
      </c>
      <c r="K16" s="95">
        <f t="shared" si="8"/>
        <v>0.19705560782120063</v>
      </c>
      <c r="L16" s="95">
        <f t="shared" si="8"/>
        <v>0.19705560782120063</v>
      </c>
      <c r="M16" s="95">
        <f t="shared" si="8"/>
        <v>0.19705560782120063</v>
      </c>
      <c r="N16" s="95">
        <f t="shared" si="8"/>
        <v>0.19705560782120063</v>
      </c>
      <c r="O16" s="95">
        <f t="shared" si="8"/>
        <v>0.19705560782120063</v>
      </c>
      <c r="P16" s="95">
        <f t="shared" si="8"/>
        <v>0.19705560782120063</v>
      </c>
      <c r="Q16" s="95">
        <f t="shared" si="8"/>
        <v>0.19705560782120063</v>
      </c>
      <c r="R16" s="95">
        <f t="shared" si="8"/>
        <v>0.19705560782120063</v>
      </c>
      <c r="S16" s="95">
        <f t="shared" si="8"/>
        <v>0.19705560782120063</v>
      </c>
      <c r="T16" s="95">
        <f t="shared" si="8"/>
        <v>0.19705560782120063</v>
      </c>
      <c r="U16" s="95">
        <f t="shared" si="8"/>
        <v>0.19705560782120063</v>
      </c>
      <c r="V16" s="95">
        <f t="shared" si="8"/>
        <v>0.19705560782120063</v>
      </c>
      <c r="W16" s="95">
        <f t="shared" si="8"/>
        <v>0.19705560782120063</v>
      </c>
      <c r="X16" s="95">
        <f t="shared" si="8"/>
        <v>0.19705560782120063</v>
      </c>
      <c r="Y16" s="95">
        <f t="shared" si="8"/>
        <v>0.19705560782120063</v>
      </c>
      <c r="Z16" s="95">
        <f t="shared" si="8"/>
        <v>0.19705560782120063</v>
      </c>
      <c r="AA16" s="95">
        <f t="shared" si="8"/>
        <v>0.19705560782120063</v>
      </c>
      <c r="AB16" s="96">
        <f t="shared" si="8"/>
        <v>0.19705560782120063</v>
      </c>
    </row>
    <row r="17" spans="1:28" ht="15.75" thickBot="1" x14ac:dyDescent="0.3">
      <c r="B17" s="84" t="s">
        <v>74</v>
      </c>
      <c r="C17" s="85" t="s">
        <v>0</v>
      </c>
      <c r="D17" s="86">
        <f>D16*D13</f>
        <v>18714.610999989374</v>
      </c>
      <c r="E17" s="87">
        <f t="shared" ref="E17:AB17" si="9">E16*E13</f>
        <v>18714.610999989374</v>
      </c>
      <c r="F17" s="87">
        <f t="shared" si="9"/>
        <v>18714.610999989374</v>
      </c>
      <c r="G17" s="87">
        <f t="shared" si="9"/>
        <v>18714.610999989374</v>
      </c>
      <c r="H17" s="87">
        <f t="shared" si="9"/>
        <v>18714.610999989374</v>
      </c>
      <c r="I17" s="87">
        <f t="shared" si="9"/>
        <v>18714.610999989374</v>
      </c>
      <c r="J17" s="87">
        <f t="shared" si="9"/>
        <v>18714.610999989374</v>
      </c>
      <c r="K17" s="87">
        <f t="shared" si="9"/>
        <v>18714.610999989374</v>
      </c>
      <c r="L17" s="87">
        <f t="shared" si="9"/>
        <v>18714.610999989374</v>
      </c>
      <c r="M17" s="87">
        <f t="shared" si="9"/>
        <v>18714.610999989374</v>
      </c>
      <c r="N17" s="87">
        <f t="shared" si="9"/>
        <v>18714.610999989374</v>
      </c>
      <c r="O17" s="87">
        <f t="shared" si="9"/>
        <v>18714.610999989374</v>
      </c>
      <c r="P17" s="87">
        <f t="shared" si="9"/>
        <v>18714.610999989374</v>
      </c>
      <c r="Q17" s="87">
        <f t="shared" si="9"/>
        <v>18714.610999989374</v>
      </c>
      <c r="R17" s="87">
        <f t="shared" si="9"/>
        <v>18714.610999989374</v>
      </c>
      <c r="S17" s="87">
        <f t="shared" si="9"/>
        <v>18714.610999989374</v>
      </c>
      <c r="T17" s="87">
        <f t="shared" si="9"/>
        <v>18714.610999989374</v>
      </c>
      <c r="U17" s="87">
        <f t="shared" si="9"/>
        <v>18714.610999989374</v>
      </c>
      <c r="V17" s="87">
        <f t="shared" si="9"/>
        <v>18714.610999989374</v>
      </c>
      <c r="W17" s="87">
        <f t="shared" si="9"/>
        <v>18714.610999989374</v>
      </c>
      <c r="X17" s="87">
        <f t="shared" si="9"/>
        <v>18714.610999989374</v>
      </c>
      <c r="Y17" s="87">
        <f t="shared" si="9"/>
        <v>18714.610999989374</v>
      </c>
      <c r="Z17" s="87">
        <f t="shared" si="9"/>
        <v>18714.610999989374</v>
      </c>
      <c r="AA17" s="87">
        <f t="shared" si="9"/>
        <v>18714.610999989374</v>
      </c>
      <c r="AB17" s="88">
        <f t="shared" si="9"/>
        <v>18714.610999989374</v>
      </c>
    </row>
    <row r="19" spans="1:28" x14ac:dyDescent="0.25">
      <c r="A19" s="307" t="s">
        <v>221</v>
      </c>
      <c r="B19" s="35" t="s">
        <v>51</v>
      </c>
    </row>
    <row r="20" spans="1:28" s="12" customFormat="1" ht="15.75" thickBot="1" x14ac:dyDescent="0.3"/>
    <row r="21" spans="1:28" s="2" customFormat="1" ht="15.75" thickBot="1" x14ac:dyDescent="0.3">
      <c r="B21" s="79"/>
      <c r="C21" s="80" t="s">
        <v>4</v>
      </c>
      <c r="D21" s="81">
        <v>1</v>
      </c>
      <c r="E21" s="82">
        <v>2</v>
      </c>
      <c r="F21" s="82">
        <v>3</v>
      </c>
      <c r="G21" s="82">
        <v>4</v>
      </c>
      <c r="H21" s="82">
        <v>5</v>
      </c>
      <c r="I21" s="82">
        <v>6</v>
      </c>
      <c r="J21" s="82">
        <v>7</v>
      </c>
      <c r="K21" s="82">
        <v>8</v>
      </c>
      <c r="L21" s="82">
        <v>9</v>
      </c>
      <c r="M21" s="82">
        <v>10</v>
      </c>
      <c r="N21" s="82">
        <v>11</v>
      </c>
      <c r="O21" s="82">
        <v>12</v>
      </c>
      <c r="P21" s="82">
        <v>13</v>
      </c>
      <c r="Q21" s="82">
        <v>14</v>
      </c>
      <c r="R21" s="82">
        <v>15</v>
      </c>
      <c r="S21" s="82">
        <v>16</v>
      </c>
      <c r="T21" s="82">
        <v>17</v>
      </c>
      <c r="U21" s="82">
        <v>18</v>
      </c>
      <c r="V21" s="82">
        <v>19</v>
      </c>
      <c r="W21" s="82">
        <v>20</v>
      </c>
      <c r="X21" s="82">
        <v>21</v>
      </c>
      <c r="Y21" s="82">
        <v>22</v>
      </c>
      <c r="Z21" s="82">
        <v>23</v>
      </c>
      <c r="AA21" s="82">
        <v>24</v>
      </c>
      <c r="AB21" s="83">
        <v>25</v>
      </c>
    </row>
    <row r="22" spans="1:28" x14ac:dyDescent="0.25">
      <c r="B22" s="74" t="s">
        <v>159</v>
      </c>
      <c r="C22" s="75" t="s">
        <v>0</v>
      </c>
      <c r="D22" s="76">
        <f>'C - Capital Cost'!G26</f>
        <v>94971.217550784801</v>
      </c>
      <c r="E22" s="77">
        <f>D22</f>
        <v>94971.217550784801</v>
      </c>
      <c r="F22" s="77">
        <f>E22</f>
        <v>94971.217550784801</v>
      </c>
      <c r="G22" s="77">
        <f t="shared" ref="G22:AB22" si="10">F22</f>
        <v>94971.217550784801</v>
      </c>
      <c r="H22" s="77">
        <f t="shared" si="10"/>
        <v>94971.217550784801</v>
      </c>
      <c r="I22" s="77">
        <f t="shared" si="10"/>
        <v>94971.217550784801</v>
      </c>
      <c r="J22" s="77">
        <f t="shared" si="10"/>
        <v>94971.217550784801</v>
      </c>
      <c r="K22" s="77">
        <f t="shared" si="10"/>
        <v>94971.217550784801</v>
      </c>
      <c r="L22" s="77">
        <f t="shared" si="10"/>
        <v>94971.217550784801</v>
      </c>
      <c r="M22" s="77">
        <f t="shared" si="10"/>
        <v>94971.217550784801</v>
      </c>
      <c r="N22" s="77">
        <f t="shared" si="10"/>
        <v>94971.217550784801</v>
      </c>
      <c r="O22" s="77">
        <f t="shared" si="10"/>
        <v>94971.217550784801</v>
      </c>
      <c r="P22" s="77">
        <f t="shared" si="10"/>
        <v>94971.217550784801</v>
      </c>
      <c r="Q22" s="77">
        <f t="shared" si="10"/>
        <v>94971.217550784801</v>
      </c>
      <c r="R22" s="77">
        <f t="shared" si="10"/>
        <v>94971.217550784801</v>
      </c>
      <c r="S22" s="77">
        <f t="shared" si="10"/>
        <v>94971.217550784801</v>
      </c>
      <c r="T22" s="77">
        <f t="shared" si="10"/>
        <v>94971.217550784801</v>
      </c>
      <c r="U22" s="77">
        <f t="shared" si="10"/>
        <v>94971.217550784801</v>
      </c>
      <c r="V22" s="77">
        <f t="shared" si="10"/>
        <v>94971.217550784801</v>
      </c>
      <c r="W22" s="77">
        <f t="shared" si="10"/>
        <v>94971.217550784801</v>
      </c>
      <c r="X22" s="77">
        <f t="shared" si="10"/>
        <v>94971.217550784801</v>
      </c>
      <c r="Y22" s="77">
        <f t="shared" si="10"/>
        <v>94971.217550784801</v>
      </c>
      <c r="Z22" s="77">
        <f t="shared" si="10"/>
        <v>94971.217550784801</v>
      </c>
      <c r="AA22" s="77">
        <f t="shared" si="10"/>
        <v>94971.217550784801</v>
      </c>
      <c r="AB22" s="78">
        <f t="shared" si="10"/>
        <v>94971.217550784801</v>
      </c>
    </row>
    <row r="23" spans="1:28" x14ac:dyDescent="0.25">
      <c r="B23" s="66" t="s">
        <v>71</v>
      </c>
      <c r="C23" s="73" t="s">
        <v>25</v>
      </c>
      <c r="D23" s="71">
        <f>'C - Assumptions'!$E$15</f>
        <v>0.155</v>
      </c>
      <c r="E23" s="64">
        <f>'C - Assumptions'!$E$15</f>
        <v>0.155</v>
      </c>
      <c r="F23" s="64">
        <f>'C - Assumptions'!$E$15</f>
        <v>0.155</v>
      </c>
      <c r="G23" s="64">
        <f>'C - Assumptions'!$E$15</f>
        <v>0.155</v>
      </c>
      <c r="H23" s="64">
        <f>'C - Assumptions'!$E$15</f>
        <v>0.155</v>
      </c>
      <c r="I23" s="64">
        <f>'C - Assumptions'!$E$15</f>
        <v>0.155</v>
      </c>
      <c r="J23" s="64">
        <f>'C - Assumptions'!$E$15</f>
        <v>0.155</v>
      </c>
      <c r="K23" s="64">
        <f>'C - Assumptions'!$E$15</f>
        <v>0.155</v>
      </c>
      <c r="L23" s="64">
        <f>'C - Assumptions'!$E$15</f>
        <v>0.155</v>
      </c>
      <c r="M23" s="64">
        <f>'C - Assumptions'!$E$15</f>
        <v>0.155</v>
      </c>
      <c r="N23" s="64">
        <f>'C - Assumptions'!$E$15</f>
        <v>0.155</v>
      </c>
      <c r="O23" s="64">
        <f>'C - Assumptions'!$E$15</f>
        <v>0.155</v>
      </c>
      <c r="P23" s="64">
        <f>'C - Assumptions'!$E$15</f>
        <v>0.155</v>
      </c>
      <c r="Q23" s="64">
        <f>'C - Assumptions'!$E$15</f>
        <v>0.155</v>
      </c>
      <c r="R23" s="64">
        <f>'C - Assumptions'!$E$15</f>
        <v>0.155</v>
      </c>
      <c r="S23" s="64">
        <f>'C - Assumptions'!$E$15</f>
        <v>0.155</v>
      </c>
      <c r="T23" s="64">
        <f>'C - Assumptions'!$E$15</f>
        <v>0.155</v>
      </c>
      <c r="U23" s="64">
        <f>'C - Assumptions'!$E$15</f>
        <v>0.155</v>
      </c>
      <c r="V23" s="64">
        <f>'C - Assumptions'!$E$15</f>
        <v>0.155</v>
      </c>
      <c r="W23" s="64">
        <f>'C - Assumptions'!$E$15</f>
        <v>0.155</v>
      </c>
      <c r="X23" s="64">
        <f>'C - Assumptions'!$E$15</f>
        <v>0.155</v>
      </c>
      <c r="Y23" s="64">
        <f>'C - Assumptions'!$E$15</f>
        <v>0.155</v>
      </c>
      <c r="Z23" s="64">
        <f>'C - Assumptions'!$E$15</f>
        <v>0.155</v>
      </c>
      <c r="AA23" s="64">
        <f>'C - Assumptions'!$E$15</f>
        <v>0.155</v>
      </c>
      <c r="AB23" s="68">
        <f>'C - Assumptions'!$E$15</f>
        <v>0.155</v>
      </c>
    </row>
    <row r="24" spans="1:28" x14ac:dyDescent="0.25">
      <c r="B24" s="66" t="s">
        <v>72</v>
      </c>
      <c r="C24" s="73" t="s">
        <v>25</v>
      </c>
      <c r="D24" s="72">
        <f>'C - Assumptions'!$E$14</f>
        <v>0.21342</v>
      </c>
      <c r="E24" s="65">
        <f>'C - Assumptions'!$E$14</f>
        <v>0.21342</v>
      </c>
      <c r="F24" s="65">
        <f>'C - Assumptions'!$E$14</f>
        <v>0.21342</v>
      </c>
      <c r="G24" s="65">
        <f>'C - Assumptions'!$E$14</f>
        <v>0.21342</v>
      </c>
      <c r="H24" s="65">
        <f>'C - Assumptions'!$E$14</f>
        <v>0.21342</v>
      </c>
      <c r="I24" s="65">
        <f>'C - Assumptions'!$E$14</f>
        <v>0.21342</v>
      </c>
      <c r="J24" s="65">
        <f>'C - Assumptions'!$E$14</f>
        <v>0.21342</v>
      </c>
      <c r="K24" s="65">
        <f>'C - Assumptions'!$E$14</f>
        <v>0.21342</v>
      </c>
      <c r="L24" s="65">
        <f>'C - Assumptions'!$E$14</f>
        <v>0.21342</v>
      </c>
      <c r="M24" s="65">
        <f>'C - Assumptions'!$E$14</f>
        <v>0.21342</v>
      </c>
      <c r="N24" s="65">
        <f>'C - Assumptions'!$E$14</f>
        <v>0.21342</v>
      </c>
      <c r="O24" s="65">
        <f>'C - Assumptions'!$E$14</f>
        <v>0.21342</v>
      </c>
      <c r="P24" s="65">
        <f>'C - Assumptions'!$E$14</f>
        <v>0.21342</v>
      </c>
      <c r="Q24" s="65">
        <f>'C - Assumptions'!$E$14</f>
        <v>0.21342</v>
      </c>
      <c r="R24" s="65">
        <f>'C - Assumptions'!$E$14</f>
        <v>0.21342</v>
      </c>
      <c r="S24" s="65">
        <f>'C - Assumptions'!$E$14</f>
        <v>0.21342</v>
      </c>
      <c r="T24" s="65">
        <f>'C - Assumptions'!$E$14</f>
        <v>0.21342</v>
      </c>
      <c r="U24" s="65">
        <f>'C - Assumptions'!$E$14</f>
        <v>0.21342</v>
      </c>
      <c r="V24" s="65">
        <f>'C - Assumptions'!$E$14</f>
        <v>0.21342</v>
      </c>
      <c r="W24" s="65">
        <f>'C - Assumptions'!$E$14</f>
        <v>0.21342</v>
      </c>
      <c r="X24" s="65">
        <f>'C - Assumptions'!$E$14</f>
        <v>0.21342</v>
      </c>
      <c r="Y24" s="65">
        <f>'C - Assumptions'!$E$14</f>
        <v>0.21342</v>
      </c>
      <c r="Z24" s="65">
        <f>'C - Assumptions'!$E$14</f>
        <v>0.21342</v>
      </c>
      <c r="AA24" s="65">
        <f>'C - Assumptions'!$E$14</f>
        <v>0.21342</v>
      </c>
      <c r="AB24" s="69">
        <f>'C - Assumptions'!$E$14</f>
        <v>0.21342</v>
      </c>
    </row>
    <row r="25" spans="1:28" s="2" customFormat="1" x14ac:dyDescent="0.25">
      <c r="B25" s="89" t="s">
        <v>73</v>
      </c>
      <c r="C25" s="90" t="s">
        <v>25</v>
      </c>
      <c r="D25" s="94">
        <f>D23/(1-D24)</f>
        <v>0.19705560782120063</v>
      </c>
      <c r="E25" s="95">
        <f t="shared" ref="E25:AB25" si="11">E23/(1-E24)</f>
        <v>0.19705560782120063</v>
      </c>
      <c r="F25" s="95">
        <f t="shared" si="11"/>
        <v>0.19705560782120063</v>
      </c>
      <c r="G25" s="95">
        <f t="shared" si="11"/>
        <v>0.19705560782120063</v>
      </c>
      <c r="H25" s="95">
        <f t="shared" si="11"/>
        <v>0.19705560782120063</v>
      </c>
      <c r="I25" s="95">
        <f t="shared" si="11"/>
        <v>0.19705560782120063</v>
      </c>
      <c r="J25" s="95">
        <f t="shared" si="11"/>
        <v>0.19705560782120063</v>
      </c>
      <c r="K25" s="95">
        <f t="shared" si="11"/>
        <v>0.19705560782120063</v>
      </c>
      <c r="L25" s="95">
        <f t="shared" si="11"/>
        <v>0.19705560782120063</v>
      </c>
      <c r="M25" s="95">
        <f t="shared" si="11"/>
        <v>0.19705560782120063</v>
      </c>
      <c r="N25" s="95">
        <f t="shared" si="11"/>
        <v>0.19705560782120063</v>
      </c>
      <c r="O25" s="95">
        <f t="shared" si="11"/>
        <v>0.19705560782120063</v>
      </c>
      <c r="P25" s="95">
        <f t="shared" si="11"/>
        <v>0.19705560782120063</v>
      </c>
      <c r="Q25" s="95">
        <f t="shared" si="11"/>
        <v>0.19705560782120063</v>
      </c>
      <c r="R25" s="95">
        <f t="shared" si="11"/>
        <v>0.19705560782120063</v>
      </c>
      <c r="S25" s="95">
        <f t="shared" si="11"/>
        <v>0.19705560782120063</v>
      </c>
      <c r="T25" s="95">
        <f t="shared" si="11"/>
        <v>0.19705560782120063</v>
      </c>
      <c r="U25" s="95">
        <f t="shared" si="11"/>
        <v>0.19705560782120063</v>
      </c>
      <c r="V25" s="95">
        <f t="shared" si="11"/>
        <v>0.19705560782120063</v>
      </c>
      <c r="W25" s="95">
        <f t="shared" si="11"/>
        <v>0.19705560782120063</v>
      </c>
      <c r="X25" s="95">
        <f t="shared" si="11"/>
        <v>0.19705560782120063</v>
      </c>
      <c r="Y25" s="95">
        <f t="shared" si="11"/>
        <v>0.19705560782120063</v>
      </c>
      <c r="Z25" s="95">
        <f t="shared" si="11"/>
        <v>0.19705560782120063</v>
      </c>
      <c r="AA25" s="95">
        <f t="shared" si="11"/>
        <v>0.19705560782120063</v>
      </c>
      <c r="AB25" s="96">
        <f t="shared" si="11"/>
        <v>0.19705560782120063</v>
      </c>
    </row>
    <row r="26" spans="1:28" s="2" customFormat="1" ht="15.75" thickBot="1" x14ac:dyDescent="0.3">
      <c r="B26" s="84" t="s">
        <v>74</v>
      </c>
      <c r="C26" s="85" t="s">
        <v>0</v>
      </c>
      <c r="D26" s="86">
        <f>D25*D22</f>
        <v>18714.610999989374</v>
      </c>
      <c r="E26" s="87">
        <f t="shared" ref="E26:AB26" si="12">E25*E22</f>
        <v>18714.610999989374</v>
      </c>
      <c r="F26" s="87">
        <f t="shared" si="12"/>
        <v>18714.610999989374</v>
      </c>
      <c r="G26" s="87">
        <f t="shared" si="12"/>
        <v>18714.610999989374</v>
      </c>
      <c r="H26" s="87">
        <f t="shared" si="12"/>
        <v>18714.610999989374</v>
      </c>
      <c r="I26" s="87">
        <f t="shared" si="12"/>
        <v>18714.610999989374</v>
      </c>
      <c r="J26" s="87">
        <f t="shared" si="12"/>
        <v>18714.610999989374</v>
      </c>
      <c r="K26" s="87">
        <f t="shared" si="12"/>
        <v>18714.610999989374</v>
      </c>
      <c r="L26" s="87">
        <f t="shared" si="12"/>
        <v>18714.610999989374</v>
      </c>
      <c r="M26" s="87">
        <f t="shared" si="12"/>
        <v>18714.610999989374</v>
      </c>
      <c r="N26" s="87">
        <f t="shared" si="12"/>
        <v>18714.610999989374</v>
      </c>
      <c r="O26" s="87">
        <f t="shared" si="12"/>
        <v>18714.610999989374</v>
      </c>
      <c r="P26" s="87">
        <f t="shared" si="12"/>
        <v>18714.610999989374</v>
      </c>
      <c r="Q26" s="87">
        <f t="shared" si="12"/>
        <v>18714.610999989374</v>
      </c>
      <c r="R26" s="87">
        <f t="shared" si="12"/>
        <v>18714.610999989374</v>
      </c>
      <c r="S26" s="87">
        <f t="shared" si="12"/>
        <v>18714.610999989374</v>
      </c>
      <c r="T26" s="87">
        <f t="shared" si="12"/>
        <v>18714.610999989374</v>
      </c>
      <c r="U26" s="87">
        <f t="shared" si="12"/>
        <v>18714.610999989374</v>
      </c>
      <c r="V26" s="87">
        <f t="shared" si="12"/>
        <v>18714.610999989374</v>
      </c>
      <c r="W26" s="87">
        <f t="shared" si="12"/>
        <v>18714.610999989374</v>
      </c>
      <c r="X26" s="87">
        <f t="shared" si="12"/>
        <v>18714.610999989374</v>
      </c>
      <c r="Y26" s="87">
        <f t="shared" si="12"/>
        <v>18714.610999989374</v>
      </c>
      <c r="Z26" s="87">
        <f t="shared" si="12"/>
        <v>18714.610999989374</v>
      </c>
      <c r="AA26" s="87">
        <f t="shared" si="12"/>
        <v>18714.610999989374</v>
      </c>
      <c r="AB26" s="88">
        <f t="shared" si="12"/>
        <v>18714.610999989374</v>
      </c>
    </row>
    <row r="28" spans="1:28" x14ac:dyDescent="0.25">
      <c r="A28" s="307" t="s">
        <v>221</v>
      </c>
      <c r="B28" s="35" t="s">
        <v>52</v>
      </c>
    </row>
    <row r="29" spans="1:28" ht="15.75" thickBot="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5.75" thickBot="1" x14ac:dyDescent="0.3">
      <c r="B30" s="79"/>
      <c r="C30" s="80" t="s">
        <v>4</v>
      </c>
      <c r="D30" s="81">
        <v>1</v>
      </c>
      <c r="E30" s="82">
        <v>2</v>
      </c>
      <c r="F30" s="82">
        <v>3</v>
      </c>
      <c r="G30" s="82">
        <v>4</v>
      </c>
      <c r="H30" s="82">
        <v>5</v>
      </c>
      <c r="I30" s="82">
        <v>6</v>
      </c>
      <c r="J30" s="82">
        <v>7</v>
      </c>
      <c r="K30" s="82">
        <v>8</v>
      </c>
      <c r="L30" s="82">
        <v>9</v>
      </c>
      <c r="M30" s="82">
        <v>10</v>
      </c>
      <c r="N30" s="82">
        <v>11</v>
      </c>
      <c r="O30" s="82">
        <v>12</v>
      </c>
      <c r="P30" s="82">
        <v>13</v>
      </c>
      <c r="Q30" s="82">
        <v>14</v>
      </c>
      <c r="R30" s="82">
        <v>15</v>
      </c>
      <c r="S30" s="82">
        <v>16</v>
      </c>
      <c r="T30" s="82">
        <v>17</v>
      </c>
      <c r="U30" s="82">
        <v>18</v>
      </c>
      <c r="V30" s="82">
        <v>19</v>
      </c>
      <c r="W30" s="82">
        <v>20</v>
      </c>
      <c r="X30" s="82">
        <v>21</v>
      </c>
      <c r="Y30" s="82">
        <v>22</v>
      </c>
      <c r="Z30" s="82">
        <v>23</v>
      </c>
      <c r="AA30" s="82">
        <v>24</v>
      </c>
      <c r="AB30" s="83">
        <v>25</v>
      </c>
    </row>
    <row r="31" spans="1:28" x14ac:dyDescent="0.25">
      <c r="B31" s="74" t="s">
        <v>159</v>
      </c>
      <c r="C31" s="75" t="s">
        <v>0</v>
      </c>
      <c r="D31" s="76">
        <f>'C - Capital Cost'!G36</f>
        <v>94971.217550784801</v>
      </c>
      <c r="E31" s="77">
        <f>D31</f>
        <v>94971.217550784801</v>
      </c>
      <c r="F31" s="77">
        <f t="shared" ref="F31:AB31" si="13">E31</f>
        <v>94971.217550784801</v>
      </c>
      <c r="G31" s="77">
        <f t="shared" si="13"/>
        <v>94971.217550784801</v>
      </c>
      <c r="H31" s="77">
        <f t="shared" si="13"/>
        <v>94971.217550784801</v>
      </c>
      <c r="I31" s="77">
        <f t="shared" si="13"/>
        <v>94971.217550784801</v>
      </c>
      <c r="J31" s="77">
        <f t="shared" si="13"/>
        <v>94971.217550784801</v>
      </c>
      <c r="K31" s="77">
        <f t="shared" si="13"/>
        <v>94971.217550784801</v>
      </c>
      <c r="L31" s="77">
        <f t="shared" si="13"/>
        <v>94971.217550784801</v>
      </c>
      <c r="M31" s="77">
        <f t="shared" si="13"/>
        <v>94971.217550784801</v>
      </c>
      <c r="N31" s="77">
        <f t="shared" si="13"/>
        <v>94971.217550784801</v>
      </c>
      <c r="O31" s="77">
        <f t="shared" si="13"/>
        <v>94971.217550784801</v>
      </c>
      <c r="P31" s="77">
        <f t="shared" si="13"/>
        <v>94971.217550784801</v>
      </c>
      <c r="Q31" s="77">
        <f t="shared" si="13"/>
        <v>94971.217550784801</v>
      </c>
      <c r="R31" s="77">
        <f t="shared" si="13"/>
        <v>94971.217550784801</v>
      </c>
      <c r="S31" s="77">
        <f t="shared" si="13"/>
        <v>94971.217550784801</v>
      </c>
      <c r="T31" s="77">
        <f t="shared" si="13"/>
        <v>94971.217550784801</v>
      </c>
      <c r="U31" s="77">
        <f t="shared" si="13"/>
        <v>94971.217550784801</v>
      </c>
      <c r="V31" s="77">
        <f t="shared" si="13"/>
        <v>94971.217550784801</v>
      </c>
      <c r="W31" s="77">
        <f t="shared" si="13"/>
        <v>94971.217550784801</v>
      </c>
      <c r="X31" s="77">
        <f t="shared" si="13"/>
        <v>94971.217550784801</v>
      </c>
      <c r="Y31" s="77">
        <f t="shared" si="13"/>
        <v>94971.217550784801</v>
      </c>
      <c r="Z31" s="77">
        <f t="shared" si="13"/>
        <v>94971.217550784801</v>
      </c>
      <c r="AA31" s="77">
        <f t="shared" si="13"/>
        <v>94971.217550784801</v>
      </c>
      <c r="AB31" s="78">
        <f t="shared" si="13"/>
        <v>94971.217550784801</v>
      </c>
    </row>
    <row r="32" spans="1:28" x14ac:dyDescent="0.25">
      <c r="B32" s="66" t="s">
        <v>71</v>
      </c>
      <c r="C32" s="73" t="s">
        <v>25</v>
      </c>
      <c r="D32" s="71">
        <f>'C - Assumptions'!$F$15</f>
        <v>0.155</v>
      </c>
      <c r="E32" s="64">
        <f>'C - Assumptions'!$F$15</f>
        <v>0.155</v>
      </c>
      <c r="F32" s="64">
        <f>'C - Assumptions'!$F$15</f>
        <v>0.155</v>
      </c>
      <c r="G32" s="64">
        <f>'C - Assumptions'!$F$15</f>
        <v>0.155</v>
      </c>
      <c r="H32" s="64">
        <f>'C - Assumptions'!$F$15</f>
        <v>0.155</v>
      </c>
      <c r="I32" s="64">
        <f>'C - Assumptions'!$F$15</f>
        <v>0.155</v>
      </c>
      <c r="J32" s="64">
        <f>'C - Assumptions'!$F$15</f>
        <v>0.155</v>
      </c>
      <c r="K32" s="64">
        <f>'C - Assumptions'!$F$15</f>
        <v>0.155</v>
      </c>
      <c r="L32" s="64">
        <f>'C - Assumptions'!$F$15</f>
        <v>0.155</v>
      </c>
      <c r="M32" s="64">
        <f>'C - Assumptions'!$F$15</f>
        <v>0.155</v>
      </c>
      <c r="N32" s="64">
        <f>'C - Assumptions'!$F$15</f>
        <v>0.155</v>
      </c>
      <c r="O32" s="64">
        <f>'C - Assumptions'!$F$15</f>
        <v>0.155</v>
      </c>
      <c r="P32" s="64">
        <f>'C - Assumptions'!$F$15</f>
        <v>0.155</v>
      </c>
      <c r="Q32" s="64">
        <f>'C - Assumptions'!$F$15</f>
        <v>0.155</v>
      </c>
      <c r="R32" s="64">
        <f>'C - Assumptions'!$F$15</f>
        <v>0.155</v>
      </c>
      <c r="S32" s="64">
        <f>'C - Assumptions'!$F$15</f>
        <v>0.155</v>
      </c>
      <c r="T32" s="64">
        <f>'C - Assumptions'!$F$15</f>
        <v>0.155</v>
      </c>
      <c r="U32" s="64">
        <f>'C - Assumptions'!$F$15</f>
        <v>0.155</v>
      </c>
      <c r="V32" s="64">
        <f>'C - Assumptions'!$F$15</f>
        <v>0.155</v>
      </c>
      <c r="W32" s="64">
        <f>'C - Assumptions'!$F$15</f>
        <v>0.155</v>
      </c>
      <c r="X32" s="64">
        <f>'C - Assumptions'!$F$15</f>
        <v>0.155</v>
      </c>
      <c r="Y32" s="64">
        <f>'C - Assumptions'!$F$15</f>
        <v>0.155</v>
      </c>
      <c r="Z32" s="64">
        <f>'C - Assumptions'!$F$15</f>
        <v>0.155</v>
      </c>
      <c r="AA32" s="64">
        <f>'C - Assumptions'!$F$15</f>
        <v>0.155</v>
      </c>
      <c r="AB32" s="68">
        <f>'C - Assumptions'!$F$15</f>
        <v>0.155</v>
      </c>
    </row>
    <row r="33" spans="2:28" x14ac:dyDescent="0.25">
      <c r="B33" s="66" t="s">
        <v>72</v>
      </c>
      <c r="C33" s="73" t="s">
        <v>25</v>
      </c>
      <c r="D33" s="72">
        <f>'C - Assumptions'!$E$14</f>
        <v>0.21342</v>
      </c>
      <c r="E33" s="65">
        <f>'C - Assumptions'!$E$14</f>
        <v>0.21342</v>
      </c>
      <c r="F33" s="65">
        <f>'C - Assumptions'!$E$14</f>
        <v>0.21342</v>
      </c>
      <c r="G33" s="65">
        <f>'C - Assumptions'!$E$14</f>
        <v>0.21342</v>
      </c>
      <c r="H33" s="65">
        <f>'C - Assumptions'!$E$14</f>
        <v>0.21342</v>
      </c>
      <c r="I33" s="65">
        <f>'C - Assumptions'!$E$14</f>
        <v>0.21342</v>
      </c>
      <c r="J33" s="65">
        <f>'C - Assumptions'!$E$14</f>
        <v>0.21342</v>
      </c>
      <c r="K33" s="65">
        <f>'C - Assumptions'!$E$14</f>
        <v>0.21342</v>
      </c>
      <c r="L33" s="65">
        <f>'C - Assumptions'!$E$14</f>
        <v>0.21342</v>
      </c>
      <c r="M33" s="65">
        <f>'C - Assumptions'!$E$14</f>
        <v>0.21342</v>
      </c>
      <c r="N33" s="65">
        <f>'C - Assumptions'!$E$14</f>
        <v>0.21342</v>
      </c>
      <c r="O33" s="65">
        <f>'C - Assumptions'!$E$14</f>
        <v>0.21342</v>
      </c>
      <c r="P33" s="65">
        <f>'C - Assumptions'!$E$14</f>
        <v>0.21342</v>
      </c>
      <c r="Q33" s="65">
        <f>'C - Assumptions'!$E$14</f>
        <v>0.21342</v>
      </c>
      <c r="R33" s="65">
        <f>'C - Assumptions'!$E$14</f>
        <v>0.21342</v>
      </c>
      <c r="S33" s="65">
        <f>'C - Assumptions'!$E$14</f>
        <v>0.21342</v>
      </c>
      <c r="T33" s="65">
        <f>'C - Assumptions'!$E$14</f>
        <v>0.21342</v>
      </c>
      <c r="U33" s="65">
        <f>'C - Assumptions'!$E$14</f>
        <v>0.21342</v>
      </c>
      <c r="V33" s="65">
        <f>'C - Assumptions'!$E$14</f>
        <v>0.21342</v>
      </c>
      <c r="W33" s="65">
        <f>'C - Assumptions'!$E$14</f>
        <v>0.21342</v>
      </c>
      <c r="X33" s="65">
        <f>'C - Assumptions'!$E$14</f>
        <v>0.21342</v>
      </c>
      <c r="Y33" s="65">
        <f>'C - Assumptions'!$E$14</f>
        <v>0.21342</v>
      </c>
      <c r="Z33" s="65">
        <f>'C - Assumptions'!$E$14</f>
        <v>0.21342</v>
      </c>
      <c r="AA33" s="65">
        <f>'C - Assumptions'!$E$14</f>
        <v>0.21342</v>
      </c>
      <c r="AB33" s="69">
        <f>'C - Assumptions'!$E$14</f>
        <v>0.21342</v>
      </c>
    </row>
    <row r="34" spans="2:28" s="2" customFormat="1" x14ac:dyDescent="0.25">
      <c r="B34" s="89" t="s">
        <v>73</v>
      </c>
      <c r="C34" s="90" t="s">
        <v>25</v>
      </c>
      <c r="D34" s="94">
        <f>D32/(1-D33)</f>
        <v>0.19705560782120063</v>
      </c>
      <c r="E34" s="95">
        <f t="shared" ref="E34:AB34" si="14">E32/(1-E33)</f>
        <v>0.19705560782120063</v>
      </c>
      <c r="F34" s="95">
        <f t="shared" si="14"/>
        <v>0.19705560782120063</v>
      </c>
      <c r="G34" s="95">
        <f t="shared" si="14"/>
        <v>0.19705560782120063</v>
      </c>
      <c r="H34" s="95">
        <f t="shared" si="14"/>
        <v>0.19705560782120063</v>
      </c>
      <c r="I34" s="95">
        <f t="shared" si="14"/>
        <v>0.19705560782120063</v>
      </c>
      <c r="J34" s="95">
        <f t="shared" si="14"/>
        <v>0.19705560782120063</v>
      </c>
      <c r="K34" s="95">
        <f t="shared" si="14"/>
        <v>0.19705560782120063</v>
      </c>
      <c r="L34" s="95">
        <f t="shared" si="14"/>
        <v>0.19705560782120063</v>
      </c>
      <c r="M34" s="95">
        <f t="shared" si="14"/>
        <v>0.19705560782120063</v>
      </c>
      <c r="N34" s="95">
        <f t="shared" si="14"/>
        <v>0.19705560782120063</v>
      </c>
      <c r="O34" s="95">
        <f t="shared" si="14"/>
        <v>0.19705560782120063</v>
      </c>
      <c r="P34" s="95">
        <f t="shared" si="14"/>
        <v>0.19705560782120063</v>
      </c>
      <c r="Q34" s="95">
        <f t="shared" si="14"/>
        <v>0.19705560782120063</v>
      </c>
      <c r="R34" s="95">
        <f t="shared" si="14"/>
        <v>0.19705560782120063</v>
      </c>
      <c r="S34" s="95">
        <f t="shared" si="14"/>
        <v>0.19705560782120063</v>
      </c>
      <c r="T34" s="95">
        <f t="shared" si="14"/>
        <v>0.19705560782120063</v>
      </c>
      <c r="U34" s="95">
        <f t="shared" si="14"/>
        <v>0.19705560782120063</v>
      </c>
      <c r="V34" s="95">
        <f t="shared" si="14"/>
        <v>0.19705560782120063</v>
      </c>
      <c r="W34" s="95">
        <f t="shared" si="14"/>
        <v>0.19705560782120063</v>
      </c>
      <c r="X34" s="95">
        <f t="shared" si="14"/>
        <v>0.19705560782120063</v>
      </c>
      <c r="Y34" s="95">
        <f t="shared" si="14"/>
        <v>0.19705560782120063</v>
      </c>
      <c r="Z34" s="95">
        <f t="shared" si="14"/>
        <v>0.19705560782120063</v>
      </c>
      <c r="AA34" s="95">
        <f t="shared" si="14"/>
        <v>0.19705560782120063</v>
      </c>
      <c r="AB34" s="96">
        <f t="shared" si="14"/>
        <v>0.19705560782120063</v>
      </c>
    </row>
    <row r="35" spans="2:28" ht="15.75" thickBot="1" x14ac:dyDescent="0.3">
      <c r="B35" s="84" t="s">
        <v>74</v>
      </c>
      <c r="C35" s="85" t="s">
        <v>0</v>
      </c>
      <c r="D35" s="86">
        <f>D34*D31</f>
        <v>18714.610999989374</v>
      </c>
      <c r="E35" s="87">
        <f t="shared" ref="E35:AB35" si="15">E34*E31</f>
        <v>18714.610999989374</v>
      </c>
      <c r="F35" s="87">
        <f t="shared" si="15"/>
        <v>18714.610999989374</v>
      </c>
      <c r="G35" s="87">
        <f t="shared" si="15"/>
        <v>18714.610999989374</v>
      </c>
      <c r="H35" s="87">
        <f t="shared" si="15"/>
        <v>18714.610999989374</v>
      </c>
      <c r="I35" s="87">
        <f t="shared" si="15"/>
        <v>18714.610999989374</v>
      </c>
      <c r="J35" s="87">
        <f t="shared" si="15"/>
        <v>18714.610999989374</v>
      </c>
      <c r="K35" s="87">
        <f t="shared" si="15"/>
        <v>18714.610999989374</v>
      </c>
      <c r="L35" s="87">
        <f t="shared" si="15"/>
        <v>18714.610999989374</v>
      </c>
      <c r="M35" s="87">
        <f t="shared" si="15"/>
        <v>18714.610999989374</v>
      </c>
      <c r="N35" s="87">
        <f t="shared" si="15"/>
        <v>18714.610999989374</v>
      </c>
      <c r="O35" s="87">
        <f t="shared" si="15"/>
        <v>18714.610999989374</v>
      </c>
      <c r="P35" s="87">
        <f t="shared" si="15"/>
        <v>18714.610999989374</v>
      </c>
      <c r="Q35" s="87">
        <f t="shared" si="15"/>
        <v>18714.610999989374</v>
      </c>
      <c r="R35" s="87">
        <f t="shared" si="15"/>
        <v>18714.610999989374</v>
      </c>
      <c r="S35" s="87">
        <f t="shared" si="15"/>
        <v>18714.610999989374</v>
      </c>
      <c r="T35" s="87">
        <f t="shared" si="15"/>
        <v>18714.610999989374</v>
      </c>
      <c r="U35" s="87">
        <f t="shared" si="15"/>
        <v>18714.610999989374</v>
      </c>
      <c r="V35" s="87">
        <f t="shared" si="15"/>
        <v>18714.610999989374</v>
      </c>
      <c r="W35" s="87">
        <f t="shared" si="15"/>
        <v>18714.610999989374</v>
      </c>
      <c r="X35" s="87">
        <f t="shared" si="15"/>
        <v>18714.610999989374</v>
      </c>
      <c r="Y35" s="87">
        <f t="shared" si="15"/>
        <v>18714.610999989374</v>
      </c>
      <c r="Z35" s="87">
        <f t="shared" si="15"/>
        <v>18714.610999989374</v>
      </c>
      <c r="AA35" s="87">
        <f t="shared" si="15"/>
        <v>18714.610999989374</v>
      </c>
      <c r="AB35" s="88">
        <f t="shared" si="15"/>
        <v>18714.610999989374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D9AF-0720-40B4-8F1F-87C5F511A48F}">
  <sheetPr>
    <tabColor theme="0" tint="-0.499984740745262"/>
  </sheetPr>
  <dimension ref="A1:AB27"/>
  <sheetViews>
    <sheetView workbookViewId="0">
      <selection activeCell="J30" sqref="J30"/>
    </sheetView>
  </sheetViews>
  <sheetFormatPr defaultColWidth="8.85546875" defaultRowHeight="15" x14ac:dyDescent="0.25"/>
  <cols>
    <col min="1" max="1" width="21" bestFit="1" customWidth="1"/>
    <col min="2" max="2" width="17" style="1" bestFit="1" customWidth="1"/>
    <col min="3" max="3" width="9.28515625" bestFit="1" customWidth="1"/>
    <col min="4" max="28" width="11.7109375" customWidth="1"/>
  </cols>
  <sheetData>
    <row r="1" spans="1:28" x14ac:dyDescent="0.25">
      <c r="A1" s="307" t="s">
        <v>222</v>
      </c>
      <c r="B1" s="35" t="s">
        <v>51</v>
      </c>
    </row>
    <row r="2" spans="1:28" ht="15.75" thickBot="1" x14ac:dyDescent="0.3"/>
    <row r="3" spans="1:28" ht="15.75" thickBot="1" x14ac:dyDescent="0.3">
      <c r="B3" s="102"/>
      <c r="C3" s="83" t="s">
        <v>4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2">
        <v>10</v>
      </c>
      <c r="N3" s="82">
        <v>11</v>
      </c>
      <c r="O3" s="82">
        <v>12</v>
      </c>
      <c r="P3" s="82">
        <v>13</v>
      </c>
      <c r="Q3" s="82">
        <v>14</v>
      </c>
      <c r="R3" s="82">
        <v>15</v>
      </c>
      <c r="S3" s="82">
        <v>16</v>
      </c>
      <c r="T3" s="82">
        <v>17</v>
      </c>
      <c r="U3" s="82">
        <v>18</v>
      </c>
      <c r="V3" s="82">
        <v>19</v>
      </c>
      <c r="W3" s="82">
        <v>20</v>
      </c>
      <c r="X3" s="82">
        <v>21</v>
      </c>
      <c r="Y3" s="82">
        <v>22</v>
      </c>
      <c r="Z3" s="82">
        <v>23</v>
      </c>
      <c r="AA3" s="82">
        <v>24</v>
      </c>
      <c r="AB3" s="83">
        <v>25</v>
      </c>
    </row>
    <row r="4" spans="1:28" x14ac:dyDescent="0.25">
      <c r="B4" s="100" t="s">
        <v>163</v>
      </c>
      <c r="C4" s="101" t="s">
        <v>0</v>
      </c>
      <c r="D4" s="103">
        <f>'C - Capital Cost'!$G$7</f>
        <v>316570.7251692827</v>
      </c>
      <c r="E4" s="104">
        <f>D4</f>
        <v>316570.7251692827</v>
      </c>
      <c r="F4" s="104">
        <f t="shared" ref="F4:AB5" si="0">E4</f>
        <v>316570.7251692827</v>
      </c>
      <c r="G4" s="104">
        <f t="shared" si="0"/>
        <v>316570.7251692827</v>
      </c>
      <c r="H4" s="104">
        <f t="shared" si="0"/>
        <v>316570.7251692827</v>
      </c>
      <c r="I4" s="104">
        <f t="shared" si="0"/>
        <v>316570.7251692827</v>
      </c>
      <c r="J4" s="104">
        <f t="shared" si="0"/>
        <v>316570.7251692827</v>
      </c>
      <c r="K4" s="104">
        <f t="shared" si="0"/>
        <v>316570.7251692827</v>
      </c>
      <c r="L4" s="104">
        <f t="shared" si="0"/>
        <v>316570.7251692827</v>
      </c>
      <c r="M4" s="104">
        <f t="shared" si="0"/>
        <v>316570.7251692827</v>
      </c>
      <c r="N4" s="104">
        <f t="shared" si="0"/>
        <v>316570.7251692827</v>
      </c>
      <c r="O4" s="104">
        <f t="shared" si="0"/>
        <v>316570.7251692827</v>
      </c>
      <c r="P4" s="104">
        <f t="shared" si="0"/>
        <v>316570.7251692827</v>
      </c>
      <c r="Q4" s="104">
        <f t="shared" si="0"/>
        <v>316570.7251692827</v>
      </c>
      <c r="R4" s="104">
        <f t="shared" si="0"/>
        <v>316570.7251692827</v>
      </c>
      <c r="S4" s="104">
        <f t="shared" si="0"/>
        <v>316570.7251692827</v>
      </c>
      <c r="T4" s="104">
        <f t="shared" si="0"/>
        <v>316570.7251692827</v>
      </c>
      <c r="U4" s="104">
        <f t="shared" si="0"/>
        <v>316570.7251692827</v>
      </c>
      <c r="V4" s="104">
        <f t="shared" si="0"/>
        <v>316570.7251692827</v>
      </c>
      <c r="W4" s="104">
        <f t="shared" si="0"/>
        <v>316570.7251692827</v>
      </c>
      <c r="X4" s="104">
        <f t="shared" si="0"/>
        <v>316570.7251692827</v>
      </c>
      <c r="Y4" s="104">
        <f t="shared" si="0"/>
        <v>316570.7251692827</v>
      </c>
      <c r="Z4" s="104">
        <f t="shared" si="0"/>
        <v>316570.7251692827</v>
      </c>
      <c r="AA4" s="104">
        <f t="shared" si="0"/>
        <v>316570.7251692827</v>
      </c>
      <c r="AB4" s="105">
        <f t="shared" si="0"/>
        <v>316570.7251692827</v>
      </c>
    </row>
    <row r="5" spans="1:28" x14ac:dyDescent="0.25">
      <c r="B5" s="99" t="s">
        <v>162</v>
      </c>
      <c r="C5" s="73"/>
      <c r="D5" s="169">
        <f>'C - Assumptions'!$E$28</f>
        <v>5.28E-2</v>
      </c>
      <c r="E5" s="64">
        <f>D5</f>
        <v>5.28E-2</v>
      </c>
      <c r="F5" s="64">
        <f t="shared" si="0"/>
        <v>5.28E-2</v>
      </c>
      <c r="G5" s="64">
        <f t="shared" si="0"/>
        <v>5.28E-2</v>
      </c>
      <c r="H5" s="64">
        <f t="shared" si="0"/>
        <v>5.28E-2</v>
      </c>
      <c r="I5" s="64">
        <f t="shared" si="0"/>
        <v>5.28E-2</v>
      </c>
      <c r="J5" s="64">
        <f t="shared" si="0"/>
        <v>5.28E-2</v>
      </c>
      <c r="K5" s="64">
        <f t="shared" si="0"/>
        <v>5.28E-2</v>
      </c>
      <c r="L5" s="64">
        <f t="shared" si="0"/>
        <v>5.28E-2</v>
      </c>
      <c r="M5" s="64">
        <f t="shared" si="0"/>
        <v>5.28E-2</v>
      </c>
      <c r="N5" s="64">
        <f t="shared" si="0"/>
        <v>5.28E-2</v>
      </c>
      <c r="O5" s="64">
        <f t="shared" si="0"/>
        <v>5.28E-2</v>
      </c>
      <c r="P5" s="170">
        <f>'C - Assumptions'!$E$29</f>
        <v>2.0500000000000001E-2</v>
      </c>
      <c r="Q5" s="64">
        <f>P5</f>
        <v>2.0500000000000001E-2</v>
      </c>
      <c r="R5" s="64">
        <f t="shared" si="0"/>
        <v>2.0500000000000001E-2</v>
      </c>
      <c r="S5" s="64">
        <f t="shared" si="0"/>
        <v>2.0500000000000001E-2</v>
      </c>
      <c r="T5" s="64">
        <f t="shared" si="0"/>
        <v>2.0500000000000001E-2</v>
      </c>
      <c r="U5" s="64">
        <f t="shared" si="0"/>
        <v>2.0500000000000001E-2</v>
      </c>
      <c r="V5" s="64">
        <f t="shared" si="0"/>
        <v>2.0500000000000001E-2</v>
      </c>
      <c r="W5" s="64">
        <f t="shared" si="0"/>
        <v>2.0500000000000001E-2</v>
      </c>
      <c r="X5" s="64">
        <f t="shared" si="0"/>
        <v>2.0500000000000001E-2</v>
      </c>
      <c r="Y5" s="64">
        <f t="shared" si="0"/>
        <v>2.0500000000000001E-2</v>
      </c>
      <c r="Z5" s="64">
        <f t="shared" si="0"/>
        <v>2.0500000000000001E-2</v>
      </c>
      <c r="AA5" s="64">
        <f t="shared" si="0"/>
        <v>2.0500000000000001E-2</v>
      </c>
      <c r="AB5" s="68">
        <f t="shared" si="0"/>
        <v>2.0500000000000001E-2</v>
      </c>
    </row>
    <row r="6" spans="1:28" ht="15.75" thickBot="1" x14ac:dyDescent="0.3">
      <c r="B6" s="109" t="s">
        <v>75</v>
      </c>
      <c r="C6" s="85" t="s">
        <v>0</v>
      </c>
      <c r="D6" s="86">
        <f>D5*D4</f>
        <v>16714.934288938126</v>
      </c>
      <c r="E6" s="86">
        <f t="shared" ref="E6:AB6" si="1">E5*E4</f>
        <v>16714.934288938126</v>
      </c>
      <c r="F6" s="86">
        <f t="shared" si="1"/>
        <v>16714.934288938126</v>
      </c>
      <c r="G6" s="87">
        <f t="shared" si="1"/>
        <v>16714.934288938126</v>
      </c>
      <c r="H6" s="87">
        <f t="shared" si="1"/>
        <v>16714.934288938126</v>
      </c>
      <c r="I6" s="87">
        <f t="shared" si="1"/>
        <v>16714.934288938126</v>
      </c>
      <c r="J6" s="87">
        <f t="shared" si="1"/>
        <v>16714.934288938126</v>
      </c>
      <c r="K6" s="87">
        <f t="shared" si="1"/>
        <v>16714.934288938126</v>
      </c>
      <c r="L6" s="87">
        <f t="shared" si="1"/>
        <v>16714.934288938126</v>
      </c>
      <c r="M6" s="87">
        <f t="shared" si="1"/>
        <v>16714.934288938126</v>
      </c>
      <c r="N6" s="87">
        <f t="shared" si="1"/>
        <v>16714.934288938126</v>
      </c>
      <c r="O6" s="87">
        <f t="shared" si="1"/>
        <v>16714.934288938126</v>
      </c>
      <c r="P6" s="87">
        <f t="shared" si="1"/>
        <v>6489.6998659702958</v>
      </c>
      <c r="Q6" s="87">
        <f t="shared" si="1"/>
        <v>6489.6998659702958</v>
      </c>
      <c r="R6" s="87">
        <f t="shared" si="1"/>
        <v>6489.6998659702958</v>
      </c>
      <c r="S6" s="87">
        <f t="shared" si="1"/>
        <v>6489.6998659702958</v>
      </c>
      <c r="T6" s="87">
        <f t="shared" si="1"/>
        <v>6489.6998659702958</v>
      </c>
      <c r="U6" s="87">
        <f t="shared" si="1"/>
        <v>6489.6998659702958</v>
      </c>
      <c r="V6" s="87">
        <f t="shared" si="1"/>
        <v>6489.6998659702958</v>
      </c>
      <c r="W6" s="87">
        <f t="shared" si="1"/>
        <v>6489.6998659702958</v>
      </c>
      <c r="X6" s="87">
        <f t="shared" si="1"/>
        <v>6489.6998659702958</v>
      </c>
      <c r="Y6" s="87">
        <f t="shared" si="1"/>
        <v>6489.6998659702958</v>
      </c>
      <c r="Z6" s="87">
        <f t="shared" si="1"/>
        <v>6489.6998659702958</v>
      </c>
      <c r="AA6" s="87">
        <f t="shared" si="1"/>
        <v>6489.6998659702958</v>
      </c>
      <c r="AB6" s="88">
        <f t="shared" si="1"/>
        <v>6489.6998659702958</v>
      </c>
    </row>
    <row r="8" spans="1:28" x14ac:dyDescent="0.25">
      <c r="A8" s="307" t="s">
        <v>222</v>
      </c>
      <c r="B8" s="36" t="s">
        <v>52</v>
      </c>
    </row>
    <row r="9" spans="1:28" ht="15.75" thickBot="1" x14ac:dyDescent="0.3"/>
    <row r="10" spans="1:28" ht="15.75" thickBot="1" x14ac:dyDescent="0.3">
      <c r="B10" s="102"/>
      <c r="C10" s="83" t="s">
        <v>4</v>
      </c>
      <c r="D10" s="81">
        <v>1</v>
      </c>
      <c r="E10" s="82">
        <v>2</v>
      </c>
      <c r="F10" s="82">
        <v>3</v>
      </c>
      <c r="G10" s="82">
        <v>4</v>
      </c>
      <c r="H10" s="82">
        <v>5</v>
      </c>
      <c r="I10" s="82">
        <v>6</v>
      </c>
      <c r="J10" s="82">
        <v>7</v>
      </c>
      <c r="K10" s="82">
        <v>8</v>
      </c>
      <c r="L10" s="82">
        <v>9</v>
      </c>
      <c r="M10" s="82">
        <v>10</v>
      </c>
      <c r="N10" s="82">
        <v>11</v>
      </c>
      <c r="O10" s="82">
        <v>12</v>
      </c>
      <c r="P10" s="82">
        <v>13</v>
      </c>
      <c r="Q10" s="82">
        <v>14</v>
      </c>
      <c r="R10" s="82">
        <v>15</v>
      </c>
      <c r="S10" s="82">
        <v>16</v>
      </c>
      <c r="T10" s="82">
        <v>17</v>
      </c>
      <c r="U10" s="82">
        <v>18</v>
      </c>
      <c r="V10" s="82">
        <v>19</v>
      </c>
      <c r="W10" s="82">
        <v>20</v>
      </c>
      <c r="X10" s="82">
        <v>21</v>
      </c>
      <c r="Y10" s="82">
        <v>22</v>
      </c>
      <c r="Z10" s="82">
        <v>23</v>
      </c>
      <c r="AA10" s="82">
        <v>24</v>
      </c>
      <c r="AB10" s="83">
        <v>25</v>
      </c>
    </row>
    <row r="11" spans="1:28" x14ac:dyDescent="0.25">
      <c r="B11" s="100" t="s">
        <v>163</v>
      </c>
      <c r="C11" s="101" t="s">
        <v>0</v>
      </c>
      <c r="D11" s="103">
        <f>'C - Capital Cost'!$G$17</f>
        <v>316570.7251692827</v>
      </c>
      <c r="E11" s="104">
        <f>D11</f>
        <v>316570.7251692827</v>
      </c>
      <c r="F11" s="104">
        <f t="shared" ref="F11:AB12" si="2">E11</f>
        <v>316570.7251692827</v>
      </c>
      <c r="G11" s="104">
        <f t="shared" si="2"/>
        <v>316570.7251692827</v>
      </c>
      <c r="H11" s="104">
        <f t="shared" si="2"/>
        <v>316570.7251692827</v>
      </c>
      <c r="I11" s="104">
        <f t="shared" si="2"/>
        <v>316570.7251692827</v>
      </c>
      <c r="J11" s="104">
        <f t="shared" si="2"/>
        <v>316570.7251692827</v>
      </c>
      <c r="K11" s="104">
        <f t="shared" si="2"/>
        <v>316570.7251692827</v>
      </c>
      <c r="L11" s="104">
        <f t="shared" si="2"/>
        <v>316570.7251692827</v>
      </c>
      <c r="M11" s="104">
        <f t="shared" si="2"/>
        <v>316570.7251692827</v>
      </c>
      <c r="N11" s="104">
        <f t="shared" si="2"/>
        <v>316570.7251692827</v>
      </c>
      <c r="O11" s="104">
        <f t="shared" si="2"/>
        <v>316570.7251692827</v>
      </c>
      <c r="P11" s="104">
        <f t="shared" si="2"/>
        <v>316570.7251692827</v>
      </c>
      <c r="Q11" s="104">
        <f t="shared" si="2"/>
        <v>316570.7251692827</v>
      </c>
      <c r="R11" s="104">
        <f t="shared" si="2"/>
        <v>316570.7251692827</v>
      </c>
      <c r="S11" s="104">
        <f t="shared" si="2"/>
        <v>316570.7251692827</v>
      </c>
      <c r="T11" s="104">
        <f t="shared" si="2"/>
        <v>316570.7251692827</v>
      </c>
      <c r="U11" s="104">
        <f t="shared" si="2"/>
        <v>316570.7251692827</v>
      </c>
      <c r="V11" s="104">
        <f t="shared" si="2"/>
        <v>316570.7251692827</v>
      </c>
      <c r="W11" s="104">
        <f t="shared" si="2"/>
        <v>316570.7251692827</v>
      </c>
      <c r="X11" s="104">
        <f t="shared" si="2"/>
        <v>316570.7251692827</v>
      </c>
      <c r="Y11" s="104">
        <f t="shared" si="2"/>
        <v>316570.7251692827</v>
      </c>
      <c r="Z11" s="104">
        <f t="shared" si="2"/>
        <v>316570.7251692827</v>
      </c>
      <c r="AA11" s="104">
        <f t="shared" si="2"/>
        <v>316570.7251692827</v>
      </c>
      <c r="AB11" s="105">
        <f t="shared" si="2"/>
        <v>316570.7251692827</v>
      </c>
    </row>
    <row r="12" spans="1:28" x14ac:dyDescent="0.25">
      <c r="B12" s="99" t="s">
        <v>162</v>
      </c>
      <c r="C12" s="73"/>
      <c r="D12" s="169">
        <f>'C - Assumptions'!$F$28</f>
        <v>5.28E-2</v>
      </c>
      <c r="E12" s="64">
        <f>D12</f>
        <v>5.28E-2</v>
      </c>
      <c r="F12" s="64">
        <f t="shared" si="2"/>
        <v>5.28E-2</v>
      </c>
      <c r="G12" s="64">
        <f t="shared" si="2"/>
        <v>5.28E-2</v>
      </c>
      <c r="H12" s="64">
        <f t="shared" si="2"/>
        <v>5.28E-2</v>
      </c>
      <c r="I12" s="64">
        <f t="shared" si="2"/>
        <v>5.28E-2</v>
      </c>
      <c r="J12" s="64">
        <f t="shared" si="2"/>
        <v>5.28E-2</v>
      </c>
      <c r="K12" s="64">
        <f t="shared" si="2"/>
        <v>5.28E-2</v>
      </c>
      <c r="L12" s="64">
        <f t="shared" si="2"/>
        <v>5.28E-2</v>
      </c>
      <c r="M12" s="64">
        <f t="shared" si="2"/>
        <v>5.28E-2</v>
      </c>
      <c r="N12" s="64">
        <f t="shared" si="2"/>
        <v>5.28E-2</v>
      </c>
      <c r="O12" s="64">
        <f t="shared" si="2"/>
        <v>5.28E-2</v>
      </c>
      <c r="P12" s="64">
        <f>'C - Assumptions'!$F$29</f>
        <v>2.0500000000000001E-2</v>
      </c>
      <c r="Q12" s="64">
        <f>P12</f>
        <v>2.0500000000000001E-2</v>
      </c>
      <c r="R12" s="64">
        <f t="shared" si="2"/>
        <v>2.0500000000000001E-2</v>
      </c>
      <c r="S12" s="64">
        <f t="shared" si="2"/>
        <v>2.0500000000000001E-2</v>
      </c>
      <c r="T12" s="64">
        <f t="shared" si="2"/>
        <v>2.0500000000000001E-2</v>
      </c>
      <c r="U12" s="64">
        <f t="shared" si="2"/>
        <v>2.0500000000000001E-2</v>
      </c>
      <c r="V12" s="64">
        <f t="shared" si="2"/>
        <v>2.0500000000000001E-2</v>
      </c>
      <c r="W12" s="64">
        <f t="shared" si="2"/>
        <v>2.0500000000000001E-2</v>
      </c>
      <c r="X12" s="64">
        <f t="shared" si="2"/>
        <v>2.0500000000000001E-2</v>
      </c>
      <c r="Y12" s="64">
        <f t="shared" si="2"/>
        <v>2.0500000000000001E-2</v>
      </c>
      <c r="Z12" s="64">
        <f t="shared" si="2"/>
        <v>2.0500000000000001E-2</v>
      </c>
      <c r="AA12" s="64">
        <f t="shared" si="2"/>
        <v>2.0500000000000001E-2</v>
      </c>
      <c r="AB12" s="68">
        <f t="shared" si="2"/>
        <v>2.0500000000000001E-2</v>
      </c>
    </row>
    <row r="13" spans="1:28" ht="15.75" thickBot="1" x14ac:dyDescent="0.3">
      <c r="B13" s="109" t="s">
        <v>75</v>
      </c>
      <c r="C13" s="85" t="s">
        <v>0</v>
      </c>
      <c r="D13" s="86">
        <f>D12*D11</f>
        <v>16714.934288938126</v>
      </c>
      <c r="E13" s="86">
        <f t="shared" ref="E13:AB13" si="3">E12*E11</f>
        <v>16714.934288938126</v>
      </c>
      <c r="F13" s="86">
        <f t="shared" si="3"/>
        <v>16714.934288938126</v>
      </c>
      <c r="G13" s="87">
        <f t="shared" si="3"/>
        <v>16714.934288938126</v>
      </c>
      <c r="H13" s="87">
        <f t="shared" si="3"/>
        <v>16714.934288938126</v>
      </c>
      <c r="I13" s="87">
        <f t="shared" si="3"/>
        <v>16714.934288938126</v>
      </c>
      <c r="J13" s="87">
        <f t="shared" si="3"/>
        <v>16714.934288938126</v>
      </c>
      <c r="K13" s="87">
        <f t="shared" si="3"/>
        <v>16714.934288938126</v>
      </c>
      <c r="L13" s="87">
        <f t="shared" si="3"/>
        <v>16714.934288938126</v>
      </c>
      <c r="M13" s="87">
        <f t="shared" si="3"/>
        <v>16714.934288938126</v>
      </c>
      <c r="N13" s="87">
        <f t="shared" si="3"/>
        <v>16714.934288938126</v>
      </c>
      <c r="O13" s="87">
        <f t="shared" si="3"/>
        <v>16714.934288938126</v>
      </c>
      <c r="P13" s="87">
        <f t="shared" si="3"/>
        <v>6489.6998659702958</v>
      </c>
      <c r="Q13" s="87">
        <f t="shared" si="3"/>
        <v>6489.6998659702958</v>
      </c>
      <c r="R13" s="87">
        <f t="shared" si="3"/>
        <v>6489.6998659702958</v>
      </c>
      <c r="S13" s="87">
        <f t="shared" si="3"/>
        <v>6489.6998659702958</v>
      </c>
      <c r="T13" s="87">
        <f t="shared" si="3"/>
        <v>6489.6998659702958</v>
      </c>
      <c r="U13" s="87">
        <f t="shared" si="3"/>
        <v>6489.6998659702958</v>
      </c>
      <c r="V13" s="87">
        <f t="shared" si="3"/>
        <v>6489.6998659702958</v>
      </c>
      <c r="W13" s="87">
        <f t="shared" si="3"/>
        <v>6489.6998659702958</v>
      </c>
      <c r="X13" s="87">
        <f t="shared" si="3"/>
        <v>6489.6998659702958</v>
      </c>
      <c r="Y13" s="87">
        <f t="shared" si="3"/>
        <v>6489.6998659702958</v>
      </c>
      <c r="Z13" s="87">
        <f t="shared" si="3"/>
        <v>6489.6998659702958</v>
      </c>
      <c r="AA13" s="87">
        <f t="shared" si="3"/>
        <v>6489.6998659702958</v>
      </c>
      <c r="AB13" s="88">
        <f t="shared" si="3"/>
        <v>6489.6998659702958</v>
      </c>
    </row>
    <row r="15" spans="1:28" x14ac:dyDescent="0.25">
      <c r="A15" s="307" t="s">
        <v>221</v>
      </c>
      <c r="B15" s="36" t="s">
        <v>51</v>
      </c>
    </row>
    <row r="16" spans="1:28" s="12" customFormat="1" ht="15.75" thickBot="1" x14ac:dyDescent="0.3">
      <c r="B16" s="97"/>
    </row>
    <row r="17" spans="1:28" s="55" customFormat="1" ht="15.75" thickBot="1" x14ac:dyDescent="0.3">
      <c r="B17" s="102"/>
      <c r="C17" s="83" t="s">
        <v>4</v>
      </c>
      <c r="D17" s="81">
        <v>1</v>
      </c>
      <c r="E17" s="82">
        <v>2</v>
      </c>
      <c r="F17" s="82">
        <v>3</v>
      </c>
      <c r="G17" s="82">
        <v>4</v>
      </c>
      <c r="H17" s="82">
        <v>5</v>
      </c>
      <c r="I17" s="82">
        <v>6</v>
      </c>
      <c r="J17" s="82">
        <v>7</v>
      </c>
      <c r="K17" s="82">
        <v>8</v>
      </c>
      <c r="L17" s="82">
        <v>9</v>
      </c>
      <c r="M17" s="82">
        <v>10</v>
      </c>
      <c r="N17" s="82">
        <v>11</v>
      </c>
      <c r="O17" s="82">
        <v>12</v>
      </c>
      <c r="P17" s="82">
        <v>13</v>
      </c>
      <c r="Q17" s="82">
        <v>14</v>
      </c>
      <c r="R17" s="82">
        <v>15</v>
      </c>
      <c r="S17" s="82">
        <v>16</v>
      </c>
      <c r="T17" s="82">
        <v>17</v>
      </c>
      <c r="U17" s="82">
        <v>18</v>
      </c>
      <c r="V17" s="82">
        <v>19</v>
      </c>
      <c r="W17" s="82">
        <v>20</v>
      </c>
      <c r="X17" s="82">
        <v>21</v>
      </c>
      <c r="Y17" s="82">
        <v>22</v>
      </c>
      <c r="Z17" s="82">
        <v>23</v>
      </c>
      <c r="AA17" s="82">
        <v>24</v>
      </c>
      <c r="AB17" s="83">
        <v>25</v>
      </c>
    </row>
    <row r="18" spans="1:28" s="2" customFormat="1" x14ac:dyDescent="0.25">
      <c r="B18" s="100" t="s">
        <v>163</v>
      </c>
      <c r="C18" s="101" t="s">
        <v>0</v>
      </c>
      <c r="D18" s="103">
        <f>'C - Capital Cost'!$G$27</f>
        <v>316570.7251692827</v>
      </c>
      <c r="E18" s="104">
        <f>D18</f>
        <v>316570.7251692827</v>
      </c>
      <c r="F18" s="104">
        <f t="shared" ref="F18:AB19" si="4">E18</f>
        <v>316570.7251692827</v>
      </c>
      <c r="G18" s="104">
        <f t="shared" si="4"/>
        <v>316570.7251692827</v>
      </c>
      <c r="H18" s="104">
        <f t="shared" si="4"/>
        <v>316570.7251692827</v>
      </c>
      <c r="I18" s="104">
        <f t="shared" si="4"/>
        <v>316570.7251692827</v>
      </c>
      <c r="J18" s="104">
        <f t="shared" si="4"/>
        <v>316570.7251692827</v>
      </c>
      <c r="K18" s="104">
        <f t="shared" si="4"/>
        <v>316570.7251692827</v>
      </c>
      <c r="L18" s="104">
        <f t="shared" si="4"/>
        <v>316570.7251692827</v>
      </c>
      <c r="M18" s="104">
        <f t="shared" si="4"/>
        <v>316570.7251692827</v>
      </c>
      <c r="N18" s="104">
        <f t="shared" si="4"/>
        <v>316570.7251692827</v>
      </c>
      <c r="O18" s="104">
        <f t="shared" si="4"/>
        <v>316570.7251692827</v>
      </c>
      <c r="P18" s="104">
        <f t="shared" si="4"/>
        <v>316570.7251692827</v>
      </c>
      <c r="Q18" s="104">
        <f t="shared" si="4"/>
        <v>316570.7251692827</v>
      </c>
      <c r="R18" s="104">
        <f t="shared" si="4"/>
        <v>316570.7251692827</v>
      </c>
      <c r="S18" s="104">
        <f t="shared" si="4"/>
        <v>316570.7251692827</v>
      </c>
      <c r="T18" s="104">
        <f t="shared" si="4"/>
        <v>316570.7251692827</v>
      </c>
      <c r="U18" s="104">
        <f t="shared" si="4"/>
        <v>316570.7251692827</v>
      </c>
      <c r="V18" s="104">
        <f t="shared" si="4"/>
        <v>316570.7251692827</v>
      </c>
      <c r="W18" s="104">
        <f t="shared" si="4"/>
        <v>316570.7251692827</v>
      </c>
      <c r="X18" s="104">
        <f t="shared" si="4"/>
        <v>316570.7251692827</v>
      </c>
      <c r="Y18" s="104">
        <f t="shared" si="4"/>
        <v>316570.7251692827</v>
      </c>
      <c r="Z18" s="104">
        <f t="shared" si="4"/>
        <v>316570.7251692827</v>
      </c>
      <c r="AA18" s="104">
        <f t="shared" si="4"/>
        <v>316570.7251692827</v>
      </c>
      <c r="AB18" s="105">
        <f t="shared" si="4"/>
        <v>316570.7251692827</v>
      </c>
    </row>
    <row r="19" spans="1:28" x14ac:dyDescent="0.25">
      <c r="A19" s="106"/>
      <c r="B19" s="99" t="s">
        <v>162</v>
      </c>
      <c r="C19" s="73"/>
      <c r="D19" s="169">
        <f>'C - Assumptions'!$E$28</f>
        <v>5.28E-2</v>
      </c>
      <c r="E19" s="64">
        <f>D19</f>
        <v>5.28E-2</v>
      </c>
      <c r="F19" s="64">
        <f t="shared" si="4"/>
        <v>5.28E-2</v>
      </c>
      <c r="G19" s="64">
        <f t="shared" si="4"/>
        <v>5.28E-2</v>
      </c>
      <c r="H19" s="64">
        <f t="shared" si="4"/>
        <v>5.28E-2</v>
      </c>
      <c r="I19" s="64">
        <f t="shared" si="4"/>
        <v>5.28E-2</v>
      </c>
      <c r="J19" s="64">
        <f t="shared" si="4"/>
        <v>5.28E-2</v>
      </c>
      <c r="K19" s="64">
        <f t="shared" si="4"/>
        <v>5.28E-2</v>
      </c>
      <c r="L19" s="64">
        <f t="shared" si="4"/>
        <v>5.28E-2</v>
      </c>
      <c r="M19" s="64">
        <f t="shared" si="4"/>
        <v>5.28E-2</v>
      </c>
      <c r="N19" s="64">
        <f t="shared" si="4"/>
        <v>5.28E-2</v>
      </c>
      <c r="O19" s="64">
        <f t="shared" si="4"/>
        <v>5.28E-2</v>
      </c>
      <c r="P19" s="170">
        <f>'C - Assumptions'!$E$29</f>
        <v>2.0500000000000001E-2</v>
      </c>
      <c r="Q19" s="64">
        <f>P19</f>
        <v>2.0500000000000001E-2</v>
      </c>
      <c r="R19" s="64">
        <f t="shared" si="4"/>
        <v>2.0500000000000001E-2</v>
      </c>
      <c r="S19" s="64">
        <f t="shared" si="4"/>
        <v>2.0500000000000001E-2</v>
      </c>
      <c r="T19" s="64">
        <f t="shared" si="4"/>
        <v>2.0500000000000001E-2</v>
      </c>
      <c r="U19" s="64">
        <f t="shared" si="4"/>
        <v>2.0500000000000001E-2</v>
      </c>
      <c r="V19" s="64">
        <f t="shared" si="4"/>
        <v>2.0500000000000001E-2</v>
      </c>
      <c r="W19" s="64">
        <f t="shared" si="4"/>
        <v>2.0500000000000001E-2</v>
      </c>
      <c r="X19" s="64">
        <f t="shared" si="4"/>
        <v>2.0500000000000001E-2</v>
      </c>
      <c r="Y19" s="64">
        <f t="shared" si="4"/>
        <v>2.0500000000000001E-2</v>
      </c>
      <c r="Z19" s="64">
        <f t="shared" si="4"/>
        <v>2.0500000000000001E-2</v>
      </c>
      <c r="AA19" s="64">
        <f t="shared" si="4"/>
        <v>2.0500000000000001E-2</v>
      </c>
      <c r="AB19" s="68">
        <f t="shared" si="4"/>
        <v>2.0500000000000001E-2</v>
      </c>
    </row>
    <row r="20" spans="1:28" s="2" customFormat="1" ht="15.75" thickBot="1" x14ac:dyDescent="0.3">
      <c r="B20" s="109" t="s">
        <v>75</v>
      </c>
      <c r="C20" s="85" t="s">
        <v>0</v>
      </c>
      <c r="D20" s="86">
        <f>D19*D18</f>
        <v>16714.934288938126</v>
      </c>
      <c r="E20" s="86">
        <f t="shared" ref="E20:AB20" si="5">E19*E18</f>
        <v>16714.934288938126</v>
      </c>
      <c r="F20" s="86">
        <f t="shared" si="5"/>
        <v>16714.934288938126</v>
      </c>
      <c r="G20" s="87">
        <f t="shared" si="5"/>
        <v>16714.934288938126</v>
      </c>
      <c r="H20" s="87">
        <f t="shared" si="5"/>
        <v>16714.934288938126</v>
      </c>
      <c r="I20" s="87">
        <f t="shared" si="5"/>
        <v>16714.934288938126</v>
      </c>
      <c r="J20" s="87">
        <f t="shared" si="5"/>
        <v>16714.934288938126</v>
      </c>
      <c r="K20" s="87">
        <f t="shared" si="5"/>
        <v>16714.934288938126</v>
      </c>
      <c r="L20" s="87">
        <f t="shared" si="5"/>
        <v>16714.934288938126</v>
      </c>
      <c r="M20" s="87">
        <f t="shared" si="5"/>
        <v>16714.934288938126</v>
      </c>
      <c r="N20" s="87">
        <f t="shared" si="5"/>
        <v>16714.934288938126</v>
      </c>
      <c r="O20" s="87">
        <f t="shared" si="5"/>
        <v>16714.934288938126</v>
      </c>
      <c r="P20" s="87">
        <f t="shared" si="5"/>
        <v>6489.6998659702958</v>
      </c>
      <c r="Q20" s="87">
        <f t="shared" si="5"/>
        <v>6489.6998659702958</v>
      </c>
      <c r="R20" s="87">
        <f t="shared" si="5"/>
        <v>6489.6998659702958</v>
      </c>
      <c r="S20" s="87">
        <f t="shared" si="5"/>
        <v>6489.6998659702958</v>
      </c>
      <c r="T20" s="87">
        <f t="shared" si="5"/>
        <v>6489.6998659702958</v>
      </c>
      <c r="U20" s="87">
        <f t="shared" si="5"/>
        <v>6489.6998659702958</v>
      </c>
      <c r="V20" s="87">
        <f t="shared" si="5"/>
        <v>6489.6998659702958</v>
      </c>
      <c r="W20" s="87">
        <f t="shared" si="5"/>
        <v>6489.6998659702958</v>
      </c>
      <c r="X20" s="87">
        <f t="shared" si="5"/>
        <v>6489.6998659702958</v>
      </c>
      <c r="Y20" s="87">
        <f t="shared" si="5"/>
        <v>6489.6998659702958</v>
      </c>
      <c r="Z20" s="87">
        <f t="shared" si="5"/>
        <v>6489.6998659702958</v>
      </c>
      <c r="AA20" s="87">
        <f t="shared" si="5"/>
        <v>6489.6998659702958</v>
      </c>
      <c r="AB20" s="88">
        <f t="shared" si="5"/>
        <v>6489.6998659702958</v>
      </c>
    </row>
    <row r="22" spans="1:28" x14ac:dyDescent="0.25">
      <c r="A22" s="307" t="s">
        <v>221</v>
      </c>
      <c r="B22" s="36" t="s">
        <v>52</v>
      </c>
    </row>
    <row r="23" spans="1:28" ht="15.75" thickBot="1" x14ac:dyDescent="0.3"/>
    <row r="24" spans="1:28" ht="15.75" thickBot="1" x14ac:dyDescent="0.3">
      <c r="B24" s="102"/>
      <c r="C24" s="83" t="s">
        <v>4</v>
      </c>
      <c r="D24" s="81">
        <v>1</v>
      </c>
      <c r="E24" s="82">
        <v>2</v>
      </c>
      <c r="F24" s="82">
        <v>3</v>
      </c>
      <c r="G24" s="82">
        <v>4</v>
      </c>
      <c r="H24" s="82">
        <v>5</v>
      </c>
      <c r="I24" s="82">
        <v>6</v>
      </c>
      <c r="J24" s="82">
        <v>7</v>
      </c>
      <c r="K24" s="82">
        <v>8</v>
      </c>
      <c r="L24" s="82">
        <v>9</v>
      </c>
      <c r="M24" s="82">
        <v>10</v>
      </c>
      <c r="N24" s="82">
        <v>11</v>
      </c>
      <c r="O24" s="82">
        <v>12</v>
      </c>
      <c r="P24" s="82">
        <v>13</v>
      </c>
      <c r="Q24" s="82">
        <v>14</v>
      </c>
      <c r="R24" s="82">
        <v>15</v>
      </c>
      <c r="S24" s="82">
        <v>16</v>
      </c>
      <c r="T24" s="82">
        <v>17</v>
      </c>
      <c r="U24" s="82">
        <v>18</v>
      </c>
      <c r="V24" s="82">
        <v>19</v>
      </c>
      <c r="W24" s="82">
        <v>20</v>
      </c>
      <c r="X24" s="82">
        <v>21</v>
      </c>
      <c r="Y24" s="82">
        <v>22</v>
      </c>
      <c r="Z24" s="82">
        <v>23</v>
      </c>
      <c r="AA24" s="82">
        <v>24</v>
      </c>
      <c r="AB24" s="83">
        <v>25</v>
      </c>
    </row>
    <row r="25" spans="1:28" x14ac:dyDescent="0.25">
      <c r="B25" s="100" t="s">
        <v>163</v>
      </c>
      <c r="C25" s="101" t="s">
        <v>0</v>
      </c>
      <c r="D25" s="103">
        <f>'C - Capital Cost'!$G$37</f>
        <v>316570.7251692827</v>
      </c>
      <c r="E25" s="104">
        <f>D25</f>
        <v>316570.7251692827</v>
      </c>
      <c r="F25" s="104">
        <f t="shared" ref="F25:AB26" si="6">E25</f>
        <v>316570.7251692827</v>
      </c>
      <c r="G25" s="104">
        <f t="shared" si="6"/>
        <v>316570.7251692827</v>
      </c>
      <c r="H25" s="104">
        <f t="shared" si="6"/>
        <v>316570.7251692827</v>
      </c>
      <c r="I25" s="104">
        <f t="shared" si="6"/>
        <v>316570.7251692827</v>
      </c>
      <c r="J25" s="104">
        <f t="shared" si="6"/>
        <v>316570.7251692827</v>
      </c>
      <c r="K25" s="104">
        <f t="shared" si="6"/>
        <v>316570.7251692827</v>
      </c>
      <c r="L25" s="104">
        <f t="shared" si="6"/>
        <v>316570.7251692827</v>
      </c>
      <c r="M25" s="104">
        <f t="shared" si="6"/>
        <v>316570.7251692827</v>
      </c>
      <c r="N25" s="104">
        <f t="shared" si="6"/>
        <v>316570.7251692827</v>
      </c>
      <c r="O25" s="104">
        <f t="shared" si="6"/>
        <v>316570.7251692827</v>
      </c>
      <c r="P25" s="104">
        <f t="shared" si="6"/>
        <v>316570.7251692827</v>
      </c>
      <c r="Q25" s="104">
        <f t="shared" si="6"/>
        <v>316570.7251692827</v>
      </c>
      <c r="R25" s="104">
        <f t="shared" si="6"/>
        <v>316570.7251692827</v>
      </c>
      <c r="S25" s="104">
        <f t="shared" si="6"/>
        <v>316570.7251692827</v>
      </c>
      <c r="T25" s="104">
        <f t="shared" si="6"/>
        <v>316570.7251692827</v>
      </c>
      <c r="U25" s="104">
        <f t="shared" si="6"/>
        <v>316570.7251692827</v>
      </c>
      <c r="V25" s="104">
        <f t="shared" si="6"/>
        <v>316570.7251692827</v>
      </c>
      <c r="W25" s="104">
        <f t="shared" si="6"/>
        <v>316570.7251692827</v>
      </c>
      <c r="X25" s="104">
        <f t="shared" si="6"/>
        <v>316570.7251692827</v>
      </c>
      <c r="Y25" s="104">
        <f t="shared" si="6"/>
        <v>316570.7251692827</v>
      </c>
      <c r="Z25" s="104">
        <f t="shared" si="6"/>
        <v>316570.7251692827</v>
      </c>
      <c r="AA25" s="104">
        <f t="shared" si="6"/>
        <v>316570.7251692827</v>
      </c>
      <c r="AB25" s="105">
        <f t="shared" si="6"/>
        <v>316570.7251692827</v>
      </c>
    </row>
    <row r="26" spans="1:28" x14ac:dyDescent="0.25">
      <c r="B26" s="99" t="s">
        <v>162</v>
      </c>
      <c r="C26" s="73"/>
      <c r="D26" s="169">
        <f>'C - Assumptions'!$F$28</f>
        <v>5.28E-2</v>
      </c>
      <c r="E26" s="64">
        <f>D26</f>
        <v>5.28E-2</v>
      </c>
      <c r="F26" s="64">
        <f t="shared" si="6"/>
        <v>5.28E-2</v>
      </c>
      <c r="G26" s="64">
        <f t="shared" si="6"/>
        <v>5.28E-2</v>
      </c>
      <c r="H26" s="64">
        <f t="shared" si="6"/>
        <v>5.28E-2</v>
      </c>
      <c r="I26" s="64">
        <f t="shared" si="6"/>
        <v>5.28E-2</v>
      </c>
      <c r="J26" s="64">
        <f t="shared" si="6"/>
        <v>5.28E-2</v>
      </c>
      <c r="K26" s="64">
        <f t="shared" si="6"/>
        <v>5.28E-2</v>
      </c>
      <c r="L26" s="64">
        <f t="shared" si="6"/>
        <v>5.28E-2</v>
      </c>
      <c r="M26" s="64">
        <f t="shared" si="6"/>
        <v>5.28E-2</v>
      </c>
      <c r="N26" s="64">
        <f t="shared" si="6"/>
        <v>5.28E-2</v>
      </c>
      <c r="O26" s="64">
        <f t="shared" si="6"/>
        <v>5.28E-2</v>
      </c>
      <c r="P26" s="64">
        <f>'C - Assumptions'!$F$29</f>
        <v>2.0500000000000001E-2</v>
      </c>
      <c r="Q26" s="64">
        <f>P26</f>
        <v>2.0500000000000001E-2</v>
      </c>
      <c r="R26" s="64">
        <f t="shared" si="6"/>
        <v>2.0500000000000001E-2</v>
      </c>
      <c r="S26" s="64">
        <f t="shared" si="6"/>
        <v>2.0500000000000001E-2</v>
      </c>
      <c r="T26" s="64">
        <f t="shared" si="6"/>
        <v>2.0500000000000001E-2</v>
      </c>
      <c r="U26" s="64">
        <f t="shared" si="6"/>
        <v>2.0500000000000001E-2</v>
      </c>
      <c r="V26" s="64">
        <f t="shared" si="6"/>
        <v>2.0500000000000001E-2</v>
      </c>
      <c r="W26" s="64">
        <f t="shared" si="6"/>
        <v>2.0500000000000001E-2</v>
      </c>
      <c r="X26" s="64">
        <f t="shared" si="6"/>
        <v>2.0500000000000001E-2</v>
      </c>
      <c r="Y26" s="64">
        <f t="shared" si="6"/>
        <v>2.0500000000000001E-2</v>
      </c>
      <c r="Z26" s="64">
        <f t="shared" si="6"/>
        <v>2.0500000000000001E-2</v>
      </c>
      <c r="AA26" s="64">
        <f t="shared" si="6"/>
        <v>2.0500000000000001E-2</v>
      </c>
      <c r="AB26" s="68">
        <f t="shared" si="6"/>
        <v>2.0500000000000001E-2</v>
      </c>
    </row>
    <row r="27" spans="1:28" ht="15.75" thickBot="1" x14ac:dyDescent="0.3">
      <c r="B27" s="109" t="s">
        <v>75</v>
      </c>
      <c r="C27" s="85" t="s">
        <v>0</v>
      </c>
      <c r="D27" s="86">
        <f>D26*D25</f>
        <v>16714.934288938126</v>
      </c>
      <c r="E27" s="86">
        <f t="shared" ref="E27:AB27" si="7">E26*E25</f>
        <v>16714.934288938126</v>
      </c>
      <c r="F27" s="86">
        <f t="shared" si="7"/>
        <v>16714.934288938126</v>
      </c>
      <c r="G27" s="87">
        <f t="shared" si="7"/>
        <v>16714.934288938126</v>
      </c>
      <c r="H27" s="87">
        <f t="shared" si="7"/>
        <v>16714.934288938126</v>
      </c>
      <c r="I27" s="87">
        <f t="shared" si="7"/>
        <v>16714.934288938126</v>
      </c>
      <c r="J27" s="87">
        <f t="shared" si="7"/>
        <v>16714.934288938126</v>
      </c>
      <c r="K27" s="87">
        <f t="shared" si="7"/>
        <v>16714.934288938126</v>
      </c>
      <c r="L27" s="87">
        <f t="shared" si="7"/>
        <v>16714.934288938126</v>
      </c>
      <c r="M27" s="87">
        <f t="shared" si="7"/>
        <v>16714.934288938126</v>
      </c>
      <c r="N27" s="87">
        <f t="shared" si="7"/>
        <v>16714.934288938126</v>
      </c>
      <c r="O27" s="87">
        <f t="shared" si="7"/>
        <v>16714.934288938126</v>
      </c>
      <c r="P27" s="87">
        <f t="shared" si="7"/>
        <v>6489.6998659702958</v>
      </c>
      <c r="Q27" s="87">
        <f t="shared" si="7"/>
        <v>6489.6998659702958</v>
      </c>
      <c r="R27" s="87">
        <f t="shared" si="7"/>
        <v>6489.6998659702958</v>
      </c>
      <c r="S27" s="87">
        <f t="shared" si="7"/>
        <v>6489.6998659702958</v>
      </c>
      <c r="T27" s="87">
        <f t="shared" si="7"/>
        <v>6489.6998659702958</v>
      </c>
      <c r="U27" s="87">
        <f t="shared" si="7"/>
        <v>6489.6998659702958</v>
      </c>
      <c r="V27" s="87">
        <f t="shared" si="7"/>
        <v>6489.6998659702958</v>
      </c>
      <c r="W27" s="87">
        <f t="shared" si="7"/>
        <v>6489.6998659702958</v>
      </c>
      <c r="X27" s="87">
        <f t="shared" si="7"/>
        <v>6489.6998659702958</v>
      </c>
      <c r="Y27" s="87">
        <f t="shared" si="7"/>
        <v>6489.6998659702958</v>
      </c>
      <c r="Z27" s="87">
        <f t="shared" si="7"/>
        <v>6489.6998659702958</v>
      </c>
      <c r="AA27" s="87">
        <f t="shared" si="7"/>
        <v>6489.6998659702958</v>
      </c>
      <c r="AB27" s="88">
        <f t="shared" si="7"/>
        <v>6489.6998659702958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EFD9-B404-4424-84F6-77C043B33EE7}">
  <sheetPr>
    <tabColor rgb="FFFFFF00"/>
  </sheetPr>
  <dimension ref="B1:N18"/>
  <sheetViews>
    <sheetView workbookViewId="0">
      <selection activeCell="F8" sqref="F8"/>
    </sheetView>
  </sheetViews>
  <sheetFormatPr defaultRowHeight="15" x14ac:dyDescent="0.25"/>
  <cols>
    <col min="2" max="2" width="35.7109375" bestFit="1" customWidth="1"/>
    <col min="3" max="3" width="15.7109375" bestFit="1" customWidth="1"/>
    <col min="4" max="4" width="7.7109375" bestFit="1" customWidth="1"/>
    <col min="5" max="5" width="13.28515625" bestFit="1" customWidth="1"/>
    <col min="6" max="6" width="17.85546875" bestFit="1" customWidth="1"/>
    <col min="7" max="7" width="9.140625" style="12" bestFit="1" customWidth="1"/>
    <col min="8" max="8" width="15" style="12" bestFit="1" customWidth="1"/>
    <col min="9" max="9" width="10.28515625" bestFit="1" customWidth="1"/>
    <col min="10" max="10" width="9.140625" style="12"/>
    <col min="11" max="12" width="10.7109375" style="12" customWidth="1"/>
    <col min="13" max="13" width="9.5703125" style="12" customWidth="1"/>
  </cols>
  <sheetData>
    <row r="1" spans="2:14" ht="15.75" thickBot="1" x14ac:dyDescent="0.3">
      <c r="C1" s="360"/>
      <c r="D1" s="360"/>
    </row>
    <row r="2" spans="2:14" s="1" customFormat="1" ht="28.15" customHeight="1" thickBot="1" x14ac:dyDescent="0.3">
      <c r="B2" s="545" t="s">
        <v>261</v>
      </c>
      <c r="C2" s="538" t="s">
        <v>256</v>
      </c>
      <c r="D2" s="538" t="s">
        <v>260</v>
      </c>
      <c r="E2" s="538" t="s">
        <v>259</v>
      </c>
      <c r="F2" s="547" t="s">
        <v>258</v>
      </c>
      <c r="G2" s="548"/>
      <c r="H2" s="359" t="s">
        <v>256</v>
      </c>
      <c r="I2" s="547" t="s">
        <v>257</v>
      </c>
      <c r="J2" s="548"/>
      <c r="K2" s="537" t="s">
        <v>256</v>
      </c>
      <c r="L2" s="538"/>
      <c r="M2" s="538" t="s">
        <v>255</v>
      </c>
      <c r="N2" s="358"/>
    </row>
    <row r="3" spans="2:14" s="12" customFormat="1" ht="15.75" thickBot="1" x14ac:dyDescent="0.3">
      <c r="B3" s="546"/>
      <c r="C3" s="541"/>
      <c r="D3" s="541"/>
      <c r="E3" s="541"/>
      <c r="F3" s="356" t="s">
        <v>253</v>
      </c>
      <c r="G3" s="355" t="s">
        <v>252</v>
      </c>
      <c r="H3" s="357" t="s">
        <v>254</v>
      </c>
      <c r="I3" s="356" t="s">
        <v>253</v>
      </c>
      <c r="J3" s="355" t="s">
        <v>252</v>
      </c>
      <c r="K3" s="539" t="s">
        <v>31</v>
      </c>
      <c r="L3" s="540"/>
      <c r="M3" s="541"/>
    </row>
    <row r="4" spans="2:14" x14ac:dyDescent="0.25">
      <c r="B4" s="354" t="s">
        <v>236</v>
      </c>
      <c r="C4" s="347">
        <f>H4*(1+G4)</f>
        <v>189</v>
      </c>
      <c r="D4" s="353">
        <f>C4/$C$7</f>
        <v>0.55867573159917228</v>
      </c>
      <c r="E4" s="352" t="s">
        <v>246</v>
      </c>
      <c r="F4" s="351" t="s">
        <v>251</v>
      </c>
      <c r="G4" s="350">
        <v>0</v>
      </c>
      <c r="H4" s="347">
        <v>189</v>
      </c>
      <c r="I4" s="349" t="s">
        <v>250</v>
      </c>
      <c r="J4" s="348">
        <v>0.05</v>
      </c>
      <c r="K4" s="347" t="s">
        <v>246</v>
      </c>
      <c r="L4" s="347">
        <f>0.7*H7*(1+5%)</f>
        <v>241.815</v>
      </c>
      <c r="M4" s="322"/>
      <c r="N4" s="334"/>
    </row>
    <row r="5" spans="2:14" x14ac:dyDescent="0.25">
      <c r="B5" s="136" t="s">
        <v>234</v>
      </c>
      <c r="C5" s="346">
        <f>H5*(1+G5)</f>
        <v>57.499999999999993</v>
      </c>
      <c r="D5" s="345">
        <f>C5/$C$7</f>
        <v>0.16996748448122964</v>
      </c>
      <c r="E5" s="3" t="s">
        <v>248</v>
      </c>
      <c r="F5" s="344" t="s">
        <v>19</v>
      </c>
      <c r="G5" s="343">
        <v>0.15</v>
      </c>
      <c r="H5" s="309">
        <v>50</v>
      </c>
      <c r="I5" s="342" t="s">
        <v>249</v>
      </c>
      <c r="J5" s="341">
        <v>0.18</v>
      </c>
      <c r="K5" s="309" t="s">
        <v>248</v>
      </c>
      <c r="L5" s="309">
        <f>0.3*H7*(1+18%)</f>
        <v>116.46599999999999</v>
      </c>
      <c r="M5" s="320"/>
      <c r="N5" s="334"/>
    </row>
    <row r="6" spans="2:14" ht="15.75" thickBot="1" x14ac:dyDescent="0.3">
      <c r="B6" s="319" t="s">
        <v>247</v>
      </c>
      <c r="C6" s="340">
        <f>H6*(1+G6)</f>
        <v>91.8</v>
      </c>
      <c r="D6" s="339">
        <f>C6/$C$7</f>
        <v>0.271356783919598</v>
      </c>
      <c r="E6" s="5" t="s">
        <v>246</v>
      </c>
      <c r="F6" s="338" t="s">
        <v>245</v>
      </c>
      <c r="G6" s="337">
        <v>0.02</v>
      </c>
      <c r="H6" s="318">
        <v>90</v>
      </c>
      <c r="I6" s="336"/>
      <c r="J6" s="335"/>
      <c r="K6" s="318"/>
      <c r="L6" s="318"/>
      <c r="M6" s="317"/>
      <c r="N6" s="334"/>
    </row>
    <row r="7" spans="2:14" s="2" customFormat="1" ht="15.75" thickBot="1" x14ac:dyDescent="0.3">
      <c r="B7" s="165" t="s">
        <v>13</v>
      </c>
      <c r="C7" s="331">
        <f>SUM(C4:C6)</f>
        <v>338.3</v>
      </c>
      <c r="D7" s="332"/>
      <c r="G7" s="333">
        <f>(G5*D5)+(G6*D6)</f>
        <v>3.0922258350576406E-2</v>
      </c>
      <c r="H7" s="331">
        <f>SUM(H4:H6)</f>
        <v>329</v>
      </c>
      <c r="J7" s="332"/>
      <c r="K7" s="331"/>
      <c r="L7" s="331">
        <f>SUM(L4:L5)</f>
        <v>358.28100000000001</v>
      </c>
      <c r="M7" s="330"/>
    </row>
    <row r="8" spans="2:14" ht="15.75" thickBot="1" x14ac:dyDescent="0.3">
      <c r="H8" s="326"/>
      <c r="I8" s="329" t="s">
        <v>244</v>
      </c>
      <c r="J8" s="328">
        <f>(70%*5%)+(30%*18%)</f>
        <v>8.8999999999999996E-2</v>
      </c>
      <c r="L8" s="327"/>
    </row>
    <row r="9" spans="2:14" ht="15.75" thickBot="1" x14ac:dyDescent="0.3">
      <c r="B9" s="542" t="s">
        <v>243</v>
      </c>
      <c r="C9" s="543"/>
      <c r="D9" s="543"/>
      <c r="E9" s="543"/>
      <c r="F9" s="544"/>
      <c r="H9" s="326"/>
      <c r="I9" s="37"/>
    </row>
    <row r="10" spans="2:14" ht="45.75" thickBot="1" x14ac:dyDescent="0.3">
      <c r="B10" s="325" t="s">
        <v>242</v>
      </c>
      <c r="C10" s="324" t="s">
        <v>241</v>
      </c>
      <c r="D10" s="43" t="s">
        <v>239</v>
      </c>
      <c r="E10" s="324" t="s">
        <v>240</v>
      </c>
      <c r="F10" s="323" t="s">
        <v>239</v>
      </c>
      <c r="G10" s="55" t="s">
        <v>238</v>
      </c>
      <c r="I10" t="s">
        <v>237</v>
      </c>
    </row>
    <row r="11" spans="2:14" x14ac:dyDescent="0.25">
      <c r="B11" s="136" t="s">
        <v>236</v>
      </c>
      <c r="C11" s="309">
        <f>'S - SPM Pre-GST'!G5</f>
        <v>0.47501876248414049</v>
      </c>
      <c r="D11" s="322">
        <f t="shared" ref="D11:D17" ca="1" si="0">C11/$C$18</f>
        <v>0.1733645118555257</v>
      </c>
      <c r="E11" s="532">
        <f>'S - SPM Post-GST'!G5</f>
        <v>1.1380409282438551</v>
      </c>
      <c r="F11" s="534">
        <f ca="1">E11/$E$18</f>
        <v>0.39242790629098451</v>
      </c>
      <c r="G11" s="536">
        <f>(E11-SUM(C11:C13)/SUM(C11:C13))</f>
        <v>0.13804092824385505</v>
      </c>
      <c r="I11" t="s">
        <v>235</v>
      </c>
    </row>
    <row r="12" spans="2:14" x14ac:dyDescent="0.25">
      <c r="B12" s="136" t="s">
        <v>234</v>
      </c>
      <c r="C12" s="309">
        <f>'S - SPM Pre-GST'!G6</f>
        <v>0.37391304512064127</v>
      </c>
      <c r="D12" s="320">
        <f t="shared" ca="1" si="0"/>
        <v>0.13646461500753329</v>
      </c>
      <c r="E12" s="533"/>
      <c r="F12" s="535"/>
      <c r="G12" s="536"/>
    </row>
    <row r="13" spans="2:14" x14ac:dyDescent="0.25">
      <c r="B13" s="136" t="s">
        <v>233</v>
      </c>
      <c r="C13" s="309">
        <f>'S - SPM Pre-GST'!G7</f>
        <v>0.23072339892086827</v>
      </c>
      <c r="D13" s="320">
        <f t="shared" ca="1" si="0"/>
        <v>8.42056200441125E-2</v>
      </c>
      <c r="E13" s="533"/>
      <c r="F13" s="535"/>
      <c r="G13" s="536"/>
    </row>
    <row r="14" spans="2:14" x14ac:dyDescent="0.25">
      <c r="B14" s="136" t="s">
        <v>232</v>
      </c>
      <c r="C14" s="309">
        <f>'S - SPM Pre-GST'!G4</f>
        <v>0.45041692299676039</v>
      </c>
      <c r="D14" s="320">
        <f t="shared" ca="1" si="0"/>
        <v>0.16438573831998554</v>
      </c>
      <c r="E14" s="309">
        <f>'S - SPM Post-GST'!G4</f>
        <v>0.47701988054449407</v>
      </c>
      <c r="F14" s="320">
        <f ca="1">E14/$E$18</f>
        <v>0.16448961398086004</v>
      </c>
      <c r="G14" s="316">
        <f>(E14-C14)/C14</f>
        <v>5.9062961868164565E-2</v>
      </c>
    </row>
    <row r="15" spans="2:14" x14ac:dyDescent="0.25">
      <c r="B15" s="136" t="s">
        <v>231</v>
      </c>
      <c r="C15" s="309">
        <f>'S - SPM Pre-GST'!G11</f>
        <v>-0.21859984798208626</v>
      </c>
      <c r="D15" s="320">
        <f t="shared" ca="1" si="0"/>
        <v>-7.9780966416819796E-2</v>
      </c>
      <c r="E15" s="309">
        <f>'S - SPM Post-GST'!G9</f>
        <v>-0.23151100246783876</v>
      </c>
      <c r="F15" s="320">
        <f ca="1">E15/$E$18</f>
        <v>-7.9831380161323712E-2</v>
      </c>
      <c r="G15" s="316">
        <f>(E15-C15)/C15</f>
        <v>5.9062961868164426E-2</v>
      </c>
    </row>
    <row r="16" spans="2:14" x14ac:dyDescent="0.25">
      <c r="B16" s="321" t="s">
        <v>230</v>
      </c>
      <c r="C16" s="309">
        <f ca="1">'S - SPM Pre-GST'!G9</f>
        <v>0.91040227929863515</v>
      </c>
      <c r="D16" s="320">
        <f t="shared" ca="1" si="0"/>
        <v>0.33226360558344348</v>
      </c>
      <c r="E16" s="309">
        <f ca="1">'S - SPM Post-GST'!G7</f>
        <v>0.96400466566220866</v>
      </c>
      <c r="F16" s="320">
        <f ca="1">E16/$E$18</f>
        <v>0.33241540195248576</v>
      </c>
      <c r="G16" s="316">
        <f ca="1">(E16-C16)/C16</f>
        <v>5.8877693501457676E-2</v>
      </c>
    </row>
    <row r="17" spans="2:13" ht="15.75" thickBot="1" x14ac:dyDescent="0.3">
      <c r="B17" s="319" t="s">
        <v>229</v>
      </c>
      <c r="C17" s="318">
        <f>'S - SPM Pre-GST'!G8</f>
        <v>0.52696111155616088</v>
      </c>
      <c r="D17" s="317">
        <f t="shared" ca="1" si="0"/>
        <v>0.19232157356064264</v>
      </c>
      <c r="E17" s="318">
        <f>'S - SPM Post-GST'!G6</f>
        <v>0.55808499559400793</v>
      </c>
      <c r="F17" s="317">
        <f ca="1">E17/$E$18</f>
        <v>0.19244310192896827</v>
      </c>
      <c r="G17" s="316">
        <f>(E17-C17)/C17</f>
        <v>5.9062961868164385E-2</v>
      </c>
    </row>
    <row r="18" spans="2:13" s="311" customFormat="1" ht="15.75" x14ac:dyDescent="0.25">
      <c r="B18" s="315" t="s">
        <v>228</v>
      </c>
      <c r="C18" s="314">
        <f ca="1">ROUNDDOWN(SUM(C11:C17),2)</f>
        <v>2.74</v>
      </c>
      <c r="D18" s="312"/>
      <c r="E18" s="314">
        <f ca="1">ROUNDDOWN(SUM(E11:E17),2)</f>
        <v>2.9</v>
      </c>
      <c r="F18" s="312"/>
      <c r="G18" s="313">
        <f ca="1">(E18-C18)/C18</f>
        <v>5.8394160583941493E-2</v>
      </c>
      <c r="H18" s="312"/>
      <c r="J18" s="312"/>
      <c r="K18" s="312"/>
      <c r="L18" s="312"/>
      <c r="M18" s="312"/>
    </row>
  </sheetData>
  <mergeCells count="13">
    <mergeCell ref="M2:M3"/>
    <mergeCell ref="B9:F9"/>
    <mergeCell ref="B2:B3"/>
    <mergeCell ref="C2:C3"/>
    <mergeCell ref="D2:D3"/>
    <mergeCell ref="E2:E3"/>
    <mergeCell ref="F2:G2"/>
    <mergeCell ref="I2:J2"/>
    <mergeCell ref="E11:E13"/>
    <mergeCell ref="F11:F13"/>
    <mergeCell ref="G11:G13"/>
    <mergeCell ref="K2:L2"/>
    <mergeCell ref="K3:L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2B88-5205-48B8-959B-7C9498208FAD}">
  <sheetPr>
    <tabColor theme="0" tint="-0.499984740745262"/>
  </sheetPr>
  <dimension ref="A1:AB35"/>
  <sheetViews>
    <sheetView topLeftCell="G1" workbookViewId="0">
      <selection activeCell="B5" sqref="A1:XFD1048576"/>
    </sheetView>
  </sheetViews>
  <sheetFormatPr defaultRowHeight="15" x14ac:dyDescent="0.25"/>
  <cols>
    <col min="1" max="1" width="21" bestFit="1" customWidth="1"/>
    <col min="2" max="2" width="43.42578125" bestFit="1" customWidth="1"/>
    <col min="3" max="3" width="9.28515625" bestFit="1" customWidth="1"/>
    <col min="4" max="28" width="12.140625" customWidth="1"/>
  </cols>
  <sheetData>
    <row r="1" spans="1:28" x14ac:dyDescent="0.25">
      <c r="A1" s="307" t="s">
        <v>222</v>
      </c>
      <c r="B1" s="35" t="s">
        <v>51</v>
      </c>
    </row>
    <row r="2" spans="1:28" ht="15.75" thickBot="1" x14ac:dyDescent="0.3"/>
    <row r="3" spans="1:28" ht="15.75" thickBot="1" x14ac:dyDescent="0.3">
      <c r="B3" s="114"/>
      <c r="C3" s="83" t="s">
        <v>4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2">
        <v>10</v>
      </c>
      <c r="N3" s="82">
        <v>11</v>
      </c>
      <c r="O3" s="82">
        <v>12</v>
      </c>
      <c r="P3" s="82">
        <v>13</v>
      </c>
      <c r="Q3" s="82">
        <v>14</v>
      </c>
      <c r="R3" s="82">
        <v>15</v>
      </c>
      <c r="S3" s="82">
        <v>16</v>
      </c>
      <c r="T3" s="82">
        <v>17</v>
      </c>
      <c r="U3" s="82">
        <v>18</v>
      </c>
      <c r="V3" s="82">
        <v>19</v>
      </c>
      <c r="W3" s="82">
        <v>20</v>
      </c>
      <c r="X3" s="82">
        <v>21</v>
      </c>
      <c r="Y3" s="82">
        <v>22</v>
      </c>
      <c r="Z3" s="82">
        <v>23</v>
      </c>
      <c r="AA3" s="82">
        <v>24</v>
      </c>
      <c r="AB3" s="83">
        <v>25</v>
      </c>
    </row>
    <row r="4" spans="1:28" x14ac:dyDescent="0.25">
      <c r="B4" s="74" t="s">
        <v>77</v>
      </c>
      <c r="C4" s="75" t="s">
        <v>0</v>
      </c>
      <c r="D4" s="76">
        <f>'C - Capital Cost'!G5</f>
        <v>221599.50761849788</v>
      </c>
      <c r="E4" s="77">
        <f t="shared" ref="E4:L4" si="0">D8</f>
        <v>178292.63241534002</v>
      </c>
      <c r="F4" s="77">
        <f t="shared" si="0"/>
        <v>140182.58223656111</v>
      </c>
      <c r="G4" s="77">
        <f t="shared" si="0"/>
        <v>106645.73807923566</v>
      </c>
      <c r="H4" s="77">
        <f t="shared" si="0"/>
        <v>77133.315220789256</v>
      </c>
      <c r="I4" s="77">
        <f t="shared" si="0"/>
        <v>51162.383105356421</v>
      </c>
      <c r="J4" s="77">
        <f t="shared" si="0"/>
        <v>28307.962843775527</v>
      </c>
      <c r="K4" s="77">
        <f t="shared" si="0"/>
        <v>8196.0730135843387</v>
      </c>
      <c r="L4" s="77">
        <f t="shared" si="0"/>
        <v>-983.52876163012058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8"/>
    </row>
    <row r="5" spans="1:28" x14ac:dyDescent="0.25">
      <c r="B5" s="99" t="s">
        <v>164</v>
      </c>
      <c r="C5" s="73" t="s">
        <v>0</v>
      </c>
      <c r="D5" s="70">
        <f>'C - Depreciation'!D6</f>
        <v>16714.934288938126</v>
      </c>
      <c r="E5" s="63">
        <f>'C - Depreciation'!E6</f>
        <v>16714.934288938126</v>
      </c>
      <c r="F5" s="63">
        <f>'C - Depreciation'!F6</f>
        <v>16714.934288938126</v>
      </c>
      <c r="G5" s="63">
        <f>'C - Depreciation'!G6</f>
        <v>16714.934288938126</v>
      </c>
      <c r="H5" s="63">
        <f>'C - Depreciation'!H6</f>
        <v>16714.934288938126</v>
      </c>
      <c r="I5" s="63">
        <f>'C - Depreciation'!I6</f>
        <v>16714.934288938126</v>
      </c>
      <c r="J5" s="63">
        <f>'C - Depreciation'!J6</f>
        <v>16714.934288938126</v>
      </c>
      <c r="K5" s="63">
        <f>K4</f>
        <v>8196.0730135843387</v>
      </c>
      <c r="L5" s="63">
        <f>L4</f>
        <v>-983.52876163012058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7"/>
    </row>
    <row r="6" spans="1:28" x14ac:dyDescent="0.25">
      <c r="B6" s="99" t="s">
        <v>79</v>
      </c>
      <c r="C6" s="73"/>
      <c r="D6" s="117">
        <v>0.12</v>
      </c>
      <c r="E6" s="64">
        <f>D6</f>
        <v>0.12</v>
      </c>
      <c r="F6" s="64">
        <f>E6</f>
        <v>0.12</v>
      </c>
      <c r="G6" s="170">
        <f>$F$6</f>
        <v>0.12</v>
      </c>
      <c r="H6" s="64">
        <f>$F$6</f>
        <v>0.12</v>
      </c>
      <c r="I6" s="64">
        <f>$F$6</f>
        <v>0.12</v>
      </c>
      <c r="J6" s="64">
        <f>$F$6</f>
        <v>0.12</v>
      </c>
      <c r="K6" s="64">
        <f>$F$6</f>
        <v>0.12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8"/>
    </row>
    <row r="7" spans="1:28" x14ac:dyDescent="0.25">
      <c r="B7" s="98" t="s">
        <v>76</v>
      </c>
      <c r="C7" s="90" t="s">
        <v>0</v>
      </c>
      <c r="D7" s="91">
        <f>D6*D4</f>
        <v>26591.940914219744</v>
      </c>
      <c r="E7" s="92">
        <f>E6*E4</f>
        <v>21395.115889840803</v>
      </c>
      <c r="F7" s="92">
        <f t="shared" ref="F7:K7" si="1">F6*F4</f>
        <v>16821.909868387331</v>
      </c>
      <c r="G7" s="92">
        <f t="shared" si="1"/>
        <v>12797.488569508278</v>
      </c>
      <c r="H7" s="92">
        <f t="shared" si="1"/>
        <v>9255.9978264947113</v>
      </c>
      <c r="I7" s="92">
        <f t="shared" si="1"/>
        <v>6139.4859726427703</v>
      </c>
      <c r="J7" s="92">
        <f t="shared" si="1"/>
        <v>3396.9555412530631</v>
      </c>
      <c r="K7" s="92">
        <f t="shared" si="1"/>
        <v>983.52876163012058</v>
      </c>
      <c r="L7" s="92">
        <v>0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15.75" thickBot="1" x14ac:dyDescent="0.3">
      <c r="B8" s="171" t="s">
        <v>78</v>
      </c>
      <c r="C8" s="111" t="s">
        <v>0</v>
      </c>
      <c r="D8" s="118">
        <f>D4-D5-D7</f>
        <v>178292.63241534002</v>
      </c>
      <c r="E8" s="119">
        <f t="shared" ref="E8:K8" si="2">E4-E5-E7</f>
        <v>140182.58223656111</v>
      </c>
      <c r="F8" s="119">
        <f t="shared" si="2"/>
        <v>106645.73807923566</v>
      </c>
      <c r="G8" s="119">
        <f t="shared" si="2"/>
        <v>77133.315220789256</v>
      </c>
      <c r="H8" s="119">
        <f t="shared" si="2"/>
        <v>51162.383105356421</v>
      </c>
      <c r="I8" s="119">
        <f t="shared" si="2"/>
        <v>28307.962843775527</v>
      </c>
      <c r="J8" s="119">
        <f t="shared" si="2"/>
        <v>8196.0730135843387</v>
      </c>
      <c r="K8" s="119">
        <f t="shared" si="2"/>
        <v>-983.52876163012058</v>
      </c>
      <c r="L8" s="119">
        <v>0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0"/>
    </row>
    <row r="10" spans="1:28" x14ac:dyDescent="0.25">
      <c r="A10" s="307" t="s">
        <v>222</v>
      </c>
      <c r="B10" s="35" t="s">
        <v>52</v>
      </c>
    </row>
    <row r="11" spans="1:28" ht="15.75" thickBot="1" x14ac:dyDescent="0.3"/>
    <row r="12" spans="1:28" ht="15.75" thickBot="1" x14ac:dyDescent="0.3">
      <c r="B12" s="114"/>
      <c r="C12" s="83" t="s">
        <v>4</v>
      </c>
      <c r="D12" s="81">
        <v>1</v>
      </c>
      <c r="E12" s="82">
        <v>2</v>
      </c>
      <c r="F12" s="82">
        <v>3</v>
      </c>
      <c r="G12" s="82">
        <v>4</v>
      </c>
      <c r="H12" s="82">
        <v>5</v>
      </c>
      <c r="I12" s="82">
        <v>6</v>
      </c>
      <c r="J12" s="82">
        <v>7</v>
      </c>
      <c r="K12" s="82">
        <v>8</v>
      </c>
      <c r="L12" s="82">
        <v>9</v>
      </c>
      <c r="M12" s="82">
        <v>10</v>
      </c>
      <c r="N12" s="82">
        <v>11</v>
      </c>
      <c r="O12" s="82">
        <v>12</v>
      </c>
      <c r="P12" s="82">
        <v>13</v>
      </c>
      <c r="Q12" s="82">
        <v>14</v>
      </c>
      <c r="R12" s="82">
        <v>15</v>
      </c>
      <c r="S12" s="82">
        <v>16</v>
      </c>
      <c r="T12" s="82">
        <v>17</v>
      </c>
      <c r="U12" s="82">
        <v>18</v>
      </c>
      <c r="V12" s="82">
        <v>19</v>
      </c>
      <c r="W12" s="82">
        <v>20</v>
      </c>
      <c r="X12" s="82">
        <v>21</v>
      </c>
      <c r="Y12" s="82">
        <v>22</v>
      </c>
      <c r="Z12" s="82">
        <v>23</v>
      </c>
      <c r="AA12" s="82">
        <v>24</v>
      </c>
      <c r="AB12" s="83">
        <v>25</v>
      </c>
    </row>
    <row r="13" spans="1:28" x14ac:dyDescent="0.25">
      <c r="B13" s="74" t="s">
        <v>77</v>
      </c>
      <c r="C13" s="75" t="s">
        <v>0</v>
      </c>
      <c r="D13" s="76">
        <f>'C - Capital Cost'!G15</f>
        <v>221599.50761849788</v>
      </c>
      <c r="E13" s="77">
        <f>D17</f>
        <v>178292.63241534002</v>
      </c>
      <c r="F13" s="77">
        <f t="shared" ref="F13:L13" si="3">E17</f>
        <v>140182.58223656111</v>
      </c>
      <c r="G13" s="77">
        <f t="shared" si="3"/>
        <v>106645.73807923566</v>
      </c>
      <c r="H13" s="77">
        <f t="shared" si="3"/>
        <v>77133.315220789256</v>
      </c>
      <c r="I13" s="77">
        <f t="shared" si="3"/>
        <v>51162.383105356421</v>
      </c>
      <c r="J13" s="77">
        <f t="shared" si="3"/>
        <v>28307.962843775527</v>
      </c>
      <c r="K13" s="77">
        <f t="shared" si="3"/>
        <v>8196.0730135843387</v>
      </c>
      <c r="L13" s="77">
        <f t="shared" si="3"/>
        <v>-983.52876163012058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</row>
    <row r="14" spans="1:28" x14ac:dyDescent="0.25">
      <c r="B14" s="99" t="s">
        <v>164</v>
      </c>
      <c r="C14" s="73" t="s">
        <v>0</v>
      </c>
      <c r="D14" s="70">
        <f>'C - Depreciation'!D13</f>
        <v>16714.934288938126</v>
      </c>
      <c r="E14" s="63">
        <f>'C - Depreciation'!E13</f>
        <v>16714.934288938126</v>
      </c>
      <c r="F14" s="63">
        <f>'C - Depreciation'!F13</f>
        <v>16714.934288938126</v>
      </c>
      <c r="G14" s="63">
        <f>'C - Depreciation'!G13</f>
        <v>16714.934288938126</v>
      </c>
      <c r="H14" s="63">
        <f>'C - Depreciation'!H13</f>
        <v>16714.934288938126</v>
      </c>
      <c r="I14" s="63">
        <f>'C - Depreciation'!I13</f>
        <v>16714.934288938126</v>
      </c>
      <c r="J14" s="63">
        <f>'C - Depreciation'!J13</f>
        <v>16714.934288938126</v>
      </c>
      <c r="K14" s="63">
        <f>K13</f>
        <v>8196.0730135843387</v>
      </c>
      <c r="L14" s="63">
        <f>L13</f>
        <v>-983.52876163012058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7"/>
    </row>
    <row r="15" spans="1:28" x14ac:dyDescent="0.25">
      <c r="B15" s="99" t="s">
        <v>79</v>
      </c>
      <c r="C15" s="73"/>
      <c r="D15" s="169">
        <f>D6</f>
        <v>0.12</v>
      </c>
      <c r="E15" s="64">
        <f>D15</f>
        <v>0.12</v>
      </c>
      <c r="F15" s="64">
        <f t="shared" ref="F15:K15" si="4">E15</f>
        <v>0.12</v>
      </c>
      <c r="G15" s="64">
        <f t="shared" si="4"/>
        <v>0.12</v>
      </c>
      <c r="H15" s="64">
        <f t="shared" si="4"/>
        <v>0.12</v>
      </c>
      <c r="I15" s="64">
        <f t="shared" si="4"/>
        <v>0.12</v>
      </c>
      <c r="J15" s="64">
        <f t="shared" si="4"/>
        <v>0.12</v>
      </c>
      <c r="K15" s="170">
        <f t="shared" si="4"/>
        <v>0.12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7"/>
    </row>
    <row r="16" spans="1:28" x14ac:dyDescent="0.25">
      <c r="B16" s="98" t="s">
        <v>76</v>
      </c>
      <c r="C16" s="90" t="s">
        <v>0</v>
      </c>
      <c r="D16" s="91">
        <f>D15*D13</f>
        <v>26591.940914219744</v>
      </c>
      <c r="E16" s="92">
        <f t="shared" ref="E16:J16" si="5">E15*E13</f>
        <v>21395.115889840803</v>
      </c>
      <c r="F16" s="92">
        <f t="shared" si="5"/>
        <v>16821.909868387331</v>
      </c>
      <c r="G16" s="92">
        <f t="shared" si="5"/>
        <v>12797.488569508278</v>
      </c>
      <c r="H16" s="92">
        <f t="shared" si="5"/>
        <v>9255.9978264947113</v>
      </c>
      <c r="I16" s="92">
        <f t="shared" si="5"/>
        <v>6139.4859726427703</v>
      </c>
      <c r="J16" s="92">
        <f t="shared" si="5"/>
        <v>3396.9555412530631</v>
      </c>
      <c r="K16" s="92">
        <f>K15*K13</f>
        <v>983.52876163012058</v>
      </c>
      <c r="L16" s="92">
        <v>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</row>
    <row r="17" spans="1:28" ht="15.75" thickBot="1" x14ac:dyDescent="0.3">
      <c r="B17" s="171" t="s">
        <v>78</v>
      </c>
      <c r="C17" s="111" t="s">
        <v>0</v>
      </c>
      <c r="D17" s="118">
        <f>D13-D14-D16</f>
        <v>178292.63241534002</v>
      </c>
      <c r="E17" s="119">
        <f t="shared" ref="E17:K17" si="6">E13-E14-E16</f>
        <v>140182.58223656111</v>
      </c>
      <c r="F17" s="119">
        <f t="shared" si="6"/>
        <v>106645.73807923566</v>
      </c>
      <c r="G17" s="119">
        <f t="shared" si="6"/>
        <v>77133.315220789256</v>
      </c>
      <c r="H17" s="119">
        <f t="shared" si="6"/>
        <v>51162.383105356421</v>
      </c>
      <c r="I17" s="119">
        <f t="shared" si="6"/>
        <v>28307.962843775527</v>
      </c>
      <c r="J17" s="119">
        <f t="shared" si="6"/>
        <v>8196.0730135843387</v>
      </c>
      <c r="K17" s="119">
        <f t="shared" si="6"/>
        <v>-983.52876163012058</v>
      </c>
      <c r="L17" s="119">
        <v>0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</row>
    <row r="19" spans="1:28" x14ac:dyDescent="0.25">
      <c r="A19" s="307" t="s">
        <v>221</v>
      </c>
      <c r="B19" s="35" t="s">
        <v>51</v>
      </c>
    </row>
    <row r="20" spans="1:28" ht="15.75" thickBot="1" x14ac:dyDescent="0.3">
      <c r="B20" s="35"/>
    </row>
    <row r="21" spans="1:28" s="55" customFormat="1" ht="15.75" thickBot="1" x14ac:dyDescent="0.3">
      <c r="B21" s="114"/>
      <c r="C21" s="83" t="s">
        <v>4</v>
      </c>
      <c r="D21" s="81">
        <v>1</v>
      </c>
      <c r="E21" s="82">
        <v>2</v>
      </c>
      <c r="F21" s="82">
        <v>3</v>
      </c>
      <c r="G21" s="82">
        <v>4</v>
      </c>
      <c r="H21" s="82">
        <v>5</v>
      </c>
      <c r="I21" s="82">
        <v>6</v>
      </c>
      <c r="J21" s="82">
        <v>7</v>
      </c>
      <c r="K21" s="82">
        <v>8</v>
      </c>
      <c r="L21" s="82">
        <v>9</v>
      </c>
      <c r="M21" s="82">
        <v>10</v>
      </c>
      <c r="N21" s="82">
        <v>11</v>
      </c>
      <c r="O21" s="82">
        <v>12</v>
      </c>
      <c r="P21" s="82">
        <v>13</v>
      </c>
      <c r="Q21" s="82">
        <v>14</v>
      </c>
      <c r="R21" s="82">
        <v>15</v>
      </c>
      <c r="S21" s="82">
        <v>16</v>
      </c>
      <c r="T21" s="82">
        <v>17</v>
      </c>
      <c r="U21" s="82">
        <v>18</v>
      </c>
      <c r="V21" s="82">
        <v>19</v>
      </c>
      <c r="W21" s="82">
        <v>20</v>
      </c>
      <c r="X21" s="82">
        <v>21</v>
      </c>
      <c r="Y21" s="82">
        <v>22</v>
      </c>
      <c r="Z21" s="82">
        <v>23</v>
      </c>
      <c r="AA21" s="82">
        <v>24</v>
      </c>
      <c r="AB21" s="83">
        <v>25</v>
      </c>
    </row>
    <row r="22" spans="1:28" x14ac:dyDescent="0.25">
      <c r="B22" s="74" t="s">
        <v>77</v>
      </c>
      <c r="C22" s="75" t="s">
        <v>0</v>
      </c>
      <c r="D22" s="76">
        <f>'C - Capital Cost'!G25</f>
        <v>221599.50761849788</v>
      </c>
      <c r="E22" s="77">
        <f t="shared" ref="E22:L22" si="7">D26</f>
        <v>178292.63241534002</v>
      </c>
      <c r="F22" s="77">
        <f t="shared" si="7"/>
        <v>140182.58223656111</v>
      </c>
      <c r="G22" s="77">
        <f t="shared" si="7"/>
        <v>106645.73807923566</v>
      </c>
      <c r="H22" s="77">
        <f t="shared" si="7"/>
        <v>77133.315220789256</v>
      </c>
      <c r="I22" s="77">
        <f t="shared" si="7"/>
        <v>51162.383105356421</v>
      </c>
      <c r="J22" s="77">
        <f t="shared" si="7"/>
        <v>28307.962843775527</v>
      </c>
      <c r="K22" s="77">
        <f t="shared" si="7"/>
        <v>8196.0730135843387</v>
      </c>
      <c r="L22" s="77">
        <f t="shared" si="7"/>
        <v>-983.52876163012058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/>
    </row>
    <row r="23" spans="1:28" x14ac:dyDescent="0.25">
      <c r="B23" s="99" t="s">
        <v>164</v>
      </c>
      <c r="C23" s="73" t="s">
        <v>0</v>
      </c>
      <c r="D23" s="70">
        <f>'C - Depreciation'!D20</f>
        <v>16714.934288938126</v>
      </c>
      <c r="E23" s="63">
        <f>'C - Depreciation'!E20</f>
        <v>16714.934288938126</v>
      </c>
      <c r="F23" s="63">
        <f>'C - Depreciation'!F20</f>
        <v>16714.934288938126</v>
      </c>
      <c r="G23" s="63">
        <f>'C - Depreciation'!G20</f>
        <v>16714.934288938126</v>
      </c>
      <c r="H23" s="63">
        <f>'C - Depreciation'!H20</f>
        <v>16714.934288938126</v>
      </c>
      <c r="I23" s="63">
        <f>'C - Depreciation'!I20</f>
        <v>16714.934288938126</v>
      </c>
      <c r="J23" s="63">
        <f>'C - Depreciation'!J20</f>
        <v>16714.934288938126</v>
      </c>
      <c r="K23" s="63">
        <f>K22</f>
        <v>8196.0730135843387</v>
      </c>
      <c r="L23" s="63">
        <f>L22</f>
        <v>-983.52876163012058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7"/>
    </row>
    <row r="24" spans="1:28" x14ac:dyDescent="0.25">
      <c r="B24" s="99" t="s">
        <v>79</v>
      </c>
      <c r="C24" s="73"/>
      <c r="D24" s="117">
        <v>0.12</v>
      </c>
      <c r="E24" s="64">
        <f>D24</f>
        <v>0.12</v>
      </c>
      <c r="F24" s="64">
        <f>E24</f>
        <v>0.12</v>
      </c>
      <c r="G24" s="170">
        <f>$F$24</f>
        <v>0.12</v>
      </c>
      <c r="H24" s="64">
        <f>$F$24</f>
        <v>0.12</v>
      </c>
      <c r="I24" s="64">
        <f>$F$24</f>
        <v>0.12</v>
      </c>
      <c r="J24" s="64">
        <f>$F$24</f>
        <v>0.12</v>
      </c>
      <c r="K24" s="64">
        <f>$F$24</f>
        <v>0.12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8"/>
    </row>
    <row r="25" spans="1:28" x14ac:dyDescent="0.25">
      <c r="B25" s="98" t="s">
        <v>76</v>
      </c>
      <c r="C25" s="90" t="s">
        <v>0</v>
      </c>
      <c r="D25" s="91">
        <f>D24*D22</f>
        <v>26591.940914219744</v>
      </c>
      <c r="E25" s="92">
        <f>E24*E22</f>
        <v>21395.115889840803</v>
      </c>
      <c r="F25" s="92">
        <f t="shared" ref="F25:K25" si="8">F24*F22</f>
        <v>16821.909868387331</v>
      </c>
      <c r="G25" s="92">
        <f t="shared" si="8"/>
        <v>12797.488569508278</v>
      </c>
      <c r="H25" s="92">
        <f t="shared" si="8"/>
        <v>9255.9978264947113</v>
      </c>
      <c r="I25" s="92">
        <f t="shared" si="8"/>
        <v>6139.4859726427703</v>
      </c>
      <c r="J25" s="92">
        <f t="shared" si="8"/>
        <v>3396.9555412530631</v>
      </c>
      <c r="K25" s="92">
        <f t="shared" si="8"/>
        <v>983.52876163012058</v>
      </c>
      <c r="L25" s="92">
        <v>0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3"/>
    </row>
    <row r="26" spans="1:28" s="2" customFormat="1" ht="15.75" thickBot="1" x14ac:dyDescent="0.3">
      <c r="B26" s="171" t="s">
        <v>78</v>
      </c>
      <c r="C26" s="111" t="s">
        <v>0</v>
      </c>
      <c r="D26" s="118">
        <f>D22-D23-D25</f>
        <v>178292.63241534002</v>
      </c>
      <c r="E26" s="119">
        <f t="shared" ref="E26:K26" si="9">E22-E23-E25</f>
        <v>140182.58223656111</v>
      </c>
      <c r="F26" s="119">
        <f t="shared" si="9"/>
        <v>106645.73807923566</v>
      </c>
      <c r="G26" s="119">
        <f t="shared" si="9"/>
        <v>77133.315220789256</v>
      </c>
      <c r="H26" s="119">
        <f t="shared" si="9"/>
        <v>51162.383105356421</v>
      </c>
      <c r="I26" s="119">
        <f t="shared" si="9"/>
        <v>28307.962843775527</v>
      </c>
      <c r="J26" s="119">
        <f t="shared" si="9"/>
        <v>8196.0730135843387</v>
      </c>
      <c r="K26" s="119">
        <f t="shared" si="9"/>
        <v>-983.52876163012058</v>
      </c>
      <c r="L26" s="119">
        <v>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0"/>
    </row>
    <row r="28" spans="1:28" x14ac:dyDescent="0.25">
      <c r="A28" s="307" t="s">
        <v>221</v>
      </c>
      <c r="B28" s="35" t="s">
        <v>52</v>
      </c>
    </row>
    <row r="29" spans="1:28" ht="15.75" thickBot="1" x14ac:dyDescent="0.3">
      <c r="B29" s="35"/>
    </row>
    <row r="30" spans="1:28" ht="15.75" thickBot="1" x14ac:dyDescent="0.3">
      <c r="B30" s="114"/>
      <c r="C30" s="83" t="s">
        <v>4</v>
      </c>
      <c r="D30" s="81">
        <v>1</v>
      </c>
      <c r="E30" s="82">
        <v>2</v>
      </c>
      <c r="F30" s="82">
        <v>3</v>
      </c>
      <c r="G30" s="82">
        <v>4</v>
      </c>
      <c r="H30" s="82">
        <v>5</v>
      </c>
      <c r="I30" s="82">
        <v>6</v>
      </c>
      <c r="J30" s="82">
        <v>7</v>
      </c>
      <c r="K30" s="82">
        <v>8</v>
      </c>
      <c r="L30" s="82">
        <v>9</v>
      </c>
      <c r="M30" s="82">
        <v>10</v>
      </c>
      <c r="N30" s="82">
        <v>11</v>
      </c>
      <c r="O30" s="82">
        <v>12</v>
      </c>
      <c r="P30" s="82">
        <v>13</v>
      </c>
      <c r="Q30" s="82">
        <v>14</v>
      </c>
      <c r="R30" s="82">
        <v>15</v>
      </c>
      <c r="S30" s="82">
        <v>16</v>
      </c>
      <c r="T30" s="82">
        <v>17</v>
      </c>
      <c r="U30" s="82">
        <v>18</v>
      </c>
      <c r="V30" s="82">
        <v>19</v>
      </c>
      <c r="W30" s="82">
        <v>20</v>
      </c>
      <c r="X30" s="82">
        <v>21</v>
      </c>
      <c r="Y30" s="82">
        <v>22</v>
      </c>
      <c r="Z30" s="82">
        <v>23</v>
      </c>
      <c r="AA30" s="82">
        <v>24</v>
      </c>
      <c r="AB30" s="83">
        <v>25</v>
      </c>
    </row>
    <row r="31" spans="1:28" x14ac:dyDescent="0.25">
      <c r="B31" s="74" t="s">
        <v>77</v>
      </c>
      <c r="C31" s="75" t="s">
        <v>0</v>
      </c>
      <c r="D31" s="76">
        <f>'C - Capital Cost'!G35</f>
        <v>221599.50761849788</v>
      </c>
      <c r="E31" s="77">
        <f>D35</f>
        <v>178292.63241534002</v>
      </c>
      <c r="F31" s="77">
        <f t="shared" ref="F31:L31" si="10">E35</f>
        <v>140182.58223656111</v>
      </c>
      <c r="G31" s="77">
        <f t="shared" si="10"/>
        <v>106645.73807923566</v>
      </c>
      <c r="H31" s="77">
        <f t="shared" si="10"/>
        <v>77133.315220789256</v>
      </c>
      <c r="I31" s="77">
        <f t="shared" si="10"/>
        <v>51162.383105356421</v>
      </c>
      <c r="J31" s="77">
        <f t="shared" si="10"/>
        <v>28307.962843775527</v>
      </c>
      <c r="K31" s="77">
        <f t="shared" si="10"/>
        <v>8196.0730135843387</v>
      </c>
      <c r="L31" s="77">
        <f t="shared" si="10"/>
        <v>-983.52876163012058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8"/>
    </row>
    <row r="32" spans="1:28" x14ac:dyDescent="0.25">
      <c r="B32" s="99" t="s">
        <v>164</v>
      </c>
      <c r="C32" s="73" t="s">
        <v>0</v>
      </c>
      <c r="D32" s="70">
        <f>'C - Depreciation'!D27</f>
        <v>16714.934288938126</v>
      </c>
      <c r="E32" s="63">
        <f>'C - Depreciation'!E27</f>
        <v>16714.934288938126</v>
      </c>
      <c r="F32" s="63">
        <f>'C - Depreciation'!F27</f>
        <v>16714.934288938126</v>
      </c>
      <c r="G32" s="63">
        <f>'C - Depreciation'!G27</f>
        <v>16714.934288938126</v>
      </c>
      <c r="H32" s="63">
        <f>'C - Depreciation'!H27</f>
        <v>16714.934288938126</v>
      </c>
      <c r="I32" s="63">
        <f>'C - Depreciation'!I27</f>
        <v>16714.934288938126</v>
      </c>
      <c r="J32" s="63">
        <f>'C - Depreciation'!J27</f>
        <v>16714.934288938126</v>
      </c>
      <c r="K32" s="63">
        <f>K31</f>
        <v>8196.0730135843387</v>
      </c>
      <c r="L32" s="63">
        <f>L31</f>
        <v>-983.52876163012058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7"/>
    </row>
    <row r="33" spans="2:28" x14ac:dyDescent="0.25">
      <c r="B33" s="99" t="s">
        <v>79</v>
      </c>
      <c r="C33" s="73"/>
      <c r="D33" s="169">
        <f t="shared" ref="D33:K33" si="11">D24</f>
        <v>0.12</v>
      </c>
      <c r="E33" s="64">
        <f t="shared" si="11"/>
        <v>0.12</v>
      </c>
      <c r="F33" s="64">
        <f t="shared" si="11"/>
        <v>0.12</v>
      </c>
      <c r="G33" s="64">
        <f t="shared" si="11"/>
        <v>0.12</v>
      </c>
      <c r="H33" s="64">
        <f t="shared" si="11"/>
        <v>0.12</v>
      </c>
      <c r="I33" s="64">
        <f t="shared" si="11"/>
        <v>0.12</v>
      </c>
      <c r="J33" s="64">
        <f t="shared" si="11"/>
        <v>0.12</v>
      </c>
      <c r="K33" s="170">
        <f t="shared" si="11"/>
        <v>0.12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7"/>
    </row>
    <row r="34" spans="2:28" s="2" customFormat="1" x14ac:dyDescent="0.25">
      <c r="B34" s="98" t="s">
        <v>76</v>
      </c>
      <c r="C34" s="90" t="s">
        <v>0</v>
      </c>
      <c r="D34" s="91">
        <f>D33*D31</f>
        <v>26591.940914219744</v>
      </c>
      <c r="E34" s="92">
        <f t="shared" ref="E34:J34" si="12">E33*E31</f>
        <v>21395.115889840803</v>
      </c>
      <c r="F34" s="92">
        <f t="shared" si="12"/>
        <v>16821.909868387331</v>
      </c>
      <c r="G34" s="92">
        <f t="shared" si="12"/>
        <v>12797.488569508278</v>
      </c>
      <c r="H34" s="92">
        <f t="shared" si="12"/>
        <v>9255.9978264947113</v>
      </c>
      <c r="I34" s="92">
        <f t="shared" si="12"/>
        <v>6139.4859726427703</v>
      </c>
      <c r="J34" s="92">
        <f t="shared" si="12"/>
        <v>3396.9555412530631</v>
      </c>
      <c r="K34" s="92">
        <f>K33*K31</f>
        <v>983.52876163012058</v>
      </c>
      <c r="L34" s="92">
        <v>0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</row>
    <row r="35" spans="2:28" ht="15.75" thickBot="1" x14ac:dyDescent="0.3">
      <c r="B35" s="171" t="s">
        <v>78</v>
      </c>
      <c r="C35" s="111" t="s">
        <v>0</v>
      </c>
      <c r="D35" s="118">
        <f>D31-D32-D34</f>
        <v>178292.63241534002</v>
      </c>
      <c r="E35" s="119">
        <f t="shared" ref="E35:K35" si="13">E31-E32-E34</f>
        <v>140182.58223656111</v>
      </c>
      <c r="F35" s="119">
        <f t="shared" si="13"/>
        <v>106645.73807923566</v>
      </c>
      <c r="G35" s="119">
        <f t="shared" si="13"/>
        <v>77133.315220789256</v>
      </c>
      <c r="H35" s="119">
        <f t="shared" si="13"/>
        <v>51162.383105356421</v>
      </c>
      <c r="I35" s="119">
        <f t="shared" si="13"/>
        <v>28307.962843775527</v>
      </c>
      <c r="J35" s="119">
        <f t="shared" si="13"/>
        <v>8196.0730135843387</v>
      </c>
      <c r="K35" s="119">
        <f t="shared" si="13"/>
        <v>-983.52876163012058</v>
      </c>
      <c r="L35" s="119">
        <v>0</v>
      </c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9197-2E2D-4AB7-A08A-EB5BC3707C04}">
  <sheetPr>
    <tabColor theme="0" tint="-0.499984740745262"/>
  </sheetPr>
  <dimension ref="A1:AC71"/>
  <sheetViews>
    <sheetView topLeftCell="A43" workbookViewId="0">
      <selection activeCell="B67" sqref="B67"/>
    </sheetView>
  </sheetViews>
  <sheetFormatPr defaultRowHeight="15" x14ac:dyDescent="0.25"/>
  <cols>
    <col min="1" max="1" width="21" bestFit="1" customWidth="1"/>
    <col min="2" max="2" width="33.85546875" bestFit="1" customWidth="1"/>
    <col min="3" max="3" width="9.42578125" bestFit="1" customWidth="1"/>
    <col min="4" max="28" width="10.5703125" bestFit="1" customWidth="1"/>
  </cols>
  <sheetData>
    <row r="1" spans="1:28" x14ac:dyDescent="0.25">
      <c r="A1" s="307" t="s">
        <v>222</v>
      </c>
      <c r="B1" s="35" t="s">
        <v>51</v>
      </c>
    </row>
    <row r="2" spans="1:28" ht="15.75" thickBot="1" x14ac:dyDescent="0.3"/>
    <row r="3" spans="1:28" ht="15.75" thickBot="1" x14ac:dyDescent="0.3">
      <c r="A3" s="55"/>
      <c r="B3" s="114"/>
      <c r="C3" s="83" t="s">
        <v>4</v>
      </c>
      <c r="D3" s="81">
        <v>1</v>
      </c>
      <c r="E3" s="82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2">
        <v>10</v>
      </c>
      <c r="N3" s="82">
        <v>11</v>
      </c>
      <c r="O3" s="82">
        <v>12</v>
      </c>
      <c r="P3" s="82">
        <v>13</v>
      </c>
      <c r="Q3" s="82">
        <v>14</v>
      </c>
      <c r="R3" s="82">
        <v>15</v>
      </c>
      <c r="S3" s="82">
        <v>16</v>
      </c>
      <c r="T3" s="82">
        <v>17</v>
      </c>
      <c r="U3" s="82">
        <v>18</v>
      </c>
      <c r="V3" s="82">
        <v>19</v>
      </c>
      <c r="W3" s="82">
        <v>20</v>
      </c>
      <c r="X3" s="82">
        <v>21</v>
      </c>
      <c r="Y3" s="82">
        <v>22</v>
      </c>
      <c r="Z3" s="82">
        <v>23</v>
      </c>
      <c r="AA3" s="82">
        <v>24</v>
      </c>
      <c r="AB3" s="83">
        <v>25</v>
      </c>
    </row>
    <row r="4" spans="1:28" x14ac:dyDescent="0.25">
      <c r="B4" s="74" t="s">
        <v>151</v>
      </c>
      <c r="C4" s="75" t="s">
        <v>0</v>
      </c>
      <c r="D4" s="76">
        <f>'C_D - VC'!F30*30*24*'C - Assumptions'!E24*'C - Assumptions'!E4*'C - Assumptions'!E3/100</f>
        <v>5814.9442635909181</v>
      </c>
      <c r="E4" s="77">
        <f>D4</f>
        <v>5814.9442635909181</v>
      </c>
      <c r="F4" s="77">
        <f t="shared" ref="F4:AB5" si="0">E4</f>
        <v>5814.9442635909181</v>
      </c>
      <c r="G4" s="77">
        <f t="shared" si="0"/>
        <v>5814.9442635909181</v>
      </c>
      <c r="H4" s="77">
        <f t="shared" si="0"/>
        <v>5814.9442635909181</v>
      </c>
      <c r="I4" s="77">
        <f t="shared" si="0"/>
        <v>5814.9442635909181</v>
      </c>
      <c r="J4" s="77">
        <f t="shared" si="0"/>
        <v>5814.9442635909181</v>
      </c>
      <c r="K4" s="77">
        <f t="shared" si="0"/>
        <v>5814.9442635909181</v>
      </c>
      <c r="L4" s="77">
        <f t="shared" si="0"/>
        <v>5814.9442635909181</v>
      </c>
      <c r="M4" s="77">
        <f t="shared" si="0"/>
        <v>5814.9442635909181</v>
      </c>
      <c r="N4" s="77">
        <f t="shared" si="0"/>
        <v>5814.9442635909181</v>
      </c>
      <c r="O4" s="77">
        <f t="shared" si="0"/>
        <v>5814.9442635909181</v>
      </c>
      <c r="P4" s="77">
        <f t="shared" si="0"/>
        <v>5814.9442635909181</v>
      </c>
      <c r="Q4" s="77">
        <f t="shared" si="0"/>
        <v>5814.9442635909181</v>
      </c>
      <c r="R4" s="77">
        <f t="shared" si="0"/>
        <v>5814.9442635909181</v>
      </c>
      <c r="S4" s="77">
        <f t="shared" si="0"/>
        <v>5814.9442635909181</v>
      </c>
      <c r="T4" s="77">
        <f t="shared" si="0"/>
        <v>5814.9442635909181</v>
      </c>
      <c r="U4" s="77">
        <f t="shared" si="0"/>
        <v>5814.9442635909181</v>
      </c>
      <c r="V4" s="77">
        <f t="shared" si="0"/>
        <v>5814.9442635909181</v>
      </c>
      <c r="W4" s="77">
        <f t="shared" si="0"/>
        <v>5814.9442635909181</v>
      </c>
      <c r="X4" s="77">
        <f t="shared" si="0"/>
        <v>5814.9442635909181</v>
      </c>
      <c r="Y4" s="77">
        <f t="shared" si="0"/>
        <v>5814.9442635909181</v>
      </c>
      <c r="Z4" s="77">
        <f t="shared" si="0"/>
        <v>5814.9442635909181</v>
      </c>
      <c r="AA4" s="77">
        <f t="shared" si="0"/>
        <v>5814.9442635909181</v>
      </c>
      <c r="AB4" s="78">
        <f t="shared" si="0"/>
        <v>5814.9442635909181</v>
      </c>
    </row>
    <row r="5" spans="1:28" x14ac:dyDescent="0.25">
      <c r="B5" s="66" t="s">
        <v>109</v>
      </c>
      <c r="C5" s="73" t="s">
        <v>0</v>
      </c>
      <c r="D5" s="70">
        <f>'C_D - VC'!F32*60*24*1000*'C - Assumptions'!E27*'C - Assumptions'!E4*'C - Assumptions'!E3/10^11</f>
        <v>91.8</v>
      </c>
      <c r="E5" s="63">
        <f>D5</f>
        <v>91.8</v>
      </c>
      <c r="F5" s="63">
        <f>E5</f>
        <v>91.8</v>
      </c>
      <c r="G5" s="63">
        <f t="shared" si="0"/>
        <v>91.8</v>
      </c>
      <c r="H5" s="63">
        <f t="shared" si="0"/>
        <v>91.8</v>
      </c>
      <c r="I5" s="63">
        <f t="shared" si="0"/>
        <v>91.8</v>
      </c>
      <c r="J5" s="63">
        <f t="shared" si="0"/>
        <v>91.8</v>
      </c>
      <c r="K5" s="63">
        <f t="shared" si="0"/>
        <v>91.8</v>
      </c>
      <c r="L5" s="63">
        <f t="shared" si="0"/>
        <v>91.8</v>
      </c>
      <c r="M5" s="63">
        <f t="shared" si="0"/>
        <v>91.8</v>
      </c>
      <c r="N5" s="63">
        <f t="shared" si="0"/>
        <v>91.8</v>
      </c>
      <c r="O5" s="63">
        <f t="shared" si="0"/>
        <v>91.8</v>
      </c>
      <c r="P5" s="63">
        <f t="shared" si="0"/>
        <v>91.8</v>
      </c>
      <c r="Q5" s="63">
        <f t="shared" si="0"/>
        <v>91.8</v>
      </c>
      <c r="R5" s="63">
        <f t="shared" si="0"/>
        <v>91.8</v>
      </c>
      <c r="S5" s="63">
        <f t="shared" si="0"/>
        <v>91.8</v>
      </c>
      <c r="T5" s="63">
        <f t="shared" si="0"/>
        <v>91.8</v>
      </c>
      <c r="U5" s="63">
        <f t="shared" si="0"/>
        <v>91.8</v>
      </c>
      <c r="V5" s="63">
        <f t="shared" si="0"/>
        <v>91.8</v>
      </c>
      <c r="W5" s="63">
        <f t="shared" si="0"/>
        <v>91.8</v>
      </c>
      <c r="X5" s="63">
        <f t="shared" si="0"/>
        <v>91.8</v>
      </c>
      <c r="Y5" s="63">
        <f t="shared" si="0"/>
        <v>91.8</v>
      </c>
      <c r="Z5" s="63">
        <f t="shared" si="0"/>
        <v>91.8</v>
      </c>
      <c r="AA5" s="63">
        <f t="shared" si="0"/>
        <v>91.8</v>
      </c>
      <c r="AB5" s="67">
        <f t="shared" si="0"/>
        <v>91.8</v>
      </c>
    </row>
    <row r="6" spans="1:28" x14ac:dyDescent="0.25">
      <c r="B6" s="66" t="s">
        <v>110</v>
      </c>
      <c r="C6" s="73" t="s">
        <v>0</v>
      </c>
      <c r="D6" s="113">
        <f>'C - O&amp;M'!D6/12</f>
        <v>753.33333333333337</v>
      </c>
      <c r="E6" s="108">
        <f>'C - O&amp;M'!E6/12</f>
        <v>800.83333333333337</v>
      </c>
      <c r="F6" s="108">
        <f>'C - O&amp;M'!F6/12</f>
        <v>851.25</v>
      </c>
      <c r="G6" s="108">
        <f>'C - O&amp;M'!G6/12</f>
        <v>904.83252655337674</v>
      </c>
      <c r="H6" s="108">
        <f>'C - O&amp;M'!H6/12</f>
        <v>961.78784271244319</v>
      </c>
      <c r="I6" s="108">
        <f>'C - O&amp;M'!I6/12</f>
        <v>1022.3282510776172</v>
      </c>
      <c r="J6" s="108">
        <f>'C - O&amp;M'!J6/12</f>
        <v>1086.6794177849695</v>
      </c>
      <c r="K6" s="108">
        <f>'C - O&amp;M'!K6/12</f>
        <v>1155.0812136833204</v>
      </c>
      <c r="L6" s="108">
        <f>'C - O&amp;M'!L6/12</f>
        <v>1227.7886084598176</v>
      </c>
      <c r="M6" s="108">
        <f>'C - O&amp;M'!M6/12</f>
        <v>1305.072621046874</v>
      </c>
      <c r="N6" s="108">
        <f>'C - O&amp;M'!N6/12</f>
        <v>1387.2213298531342</v>
      </c>
      <c r="O6" s="108">
        <f>'C - O&amp;M'!O6/12</f>
        <v>1474.5409465841369</v>
      </c>
      <c r="P6" s="108">
        <f>'C - O&amp;M'!P6/12</f>
        <v>1567.3569576553684</v>
      </c>
      <c r="Q6" s="108">
        <f>'C - O&amp;M'!Q6/12</f>
        <v>1666.0153374523595</v>
      </c>
      <c r="R6" s="108">
        <f>'C - O&amp;M'!R6/12</f>
        <v>1770.8838379602878</v>
      </c>
      <c r="S6" s="108">
        <f>'C - O&amp;M'!S6/12</f>
        <v>1882.3533595702177</v>
      </c>
      <c r="T6" s="108">
        <f>'C - O&amp;M'!T6/12</f>
        <v>2000.839408171697</v>
      </c>
      <c r="U6" s="108">
        <f>'C - O&amp;M'!U6/12</f>
        <v>2126.7836439630655</v>
      </c>
      <c r="V6" s="108">
        <f>'C - O&amp;M'!V6/12</f>
        <v>2260.6555277527141</v>
      </c>
      <c r="W6" s="108">
        <f>'C - O&amp;M'!W6/12</f>
        <v>2402.9540708879244</v>
      </c>
      <c r="X6" s="108">
        <f>'C - O&amp;M'!X6/12</f>
        <v>2554.2096953342057</v>
      </c>
      <c r="Y6" s="108">
        <f>'C - O&amp;M'!Y6/12</f>
        <v>2714.9862108386255</v>
      </c>
      <c r="Z6" s="108">
        <f>'C - O&amp;M'!Z6/12</f>
        <v>2885.8829165470688</v>
      </c>
      <c r="AA6" s="108">
        <f>'C - O&amp;M'!AA6/12</f>
        <v>3067.5368349092655</v>
      </c>
      <c r="AB6" s="19">
        <f>'C - O&amp;M'!AB6/12</f>
        <v>3260.6250861985304</v>
      </c>
    </row>
    <row r="7" spans="1:28" x14ac:dyDescent="0.25">
      <c r="A7" t="s">
        <v>111</v>
      </c>
      <c r="B7" s="66" t="s">
        <v>112</v>
      </c>
      <c r="C7" s="73" t="s">
        <v>0</v>
      </c>
      <c r="D7" s="113">
        <f>20%*'C - O&amp;M'!D6</f>
        <v>1808</v>
      </c>
      <c r="E7" s="108">
        <f>20%*'C - O&amp;M'!E6</f>
        <v>1922</v>
      </c>
      <c r="F7" s="108">
        <f>20%*'C - O&amp;M'!F6</f>
        <v>2043</v>
      </c>
      <c r="G7" s="108">
        <f>20%*'C - O&amp;M'!G6</f>
        <v>2171.5980637281041</v>
      </c>
      <c r="H7" s="108">
        <f>20%*'C - O&amp;M'!H6</f>
        <v>2308.2908225098636</v>
      </c>
      <c r="I7" s="108">
        <f>20%*'C - O&amp;M'!I6</f>
        <v>2453.5878025862817</v>
      </c>
      <c r="J7" s="108">
        <f>20%*'C - O&amp;M'!J6</f>
        <v>2608.0306026839271</v>
      </c>
      <c r="K7" s="108">
        <f>20%*'C - O&amp;M'!K6</f>
        <v>2772.1949128399692</v>
      </c>
      <c r="L7" s="108">
        <f>20%*'C - O&amp;M'!L6</f>
        <v>2946.6926603035627</v>
      </c>
      <c r="M7" s="108">
        <f>20%*'C - O&amp;M'!M6</f>
        <v>3132.1742905124975</v>
      </c>
      <c r="N7" s="108">
        <f>20%*'C - O&amp;M'!N6</f>
        <v>3329.3311916475222</v>
      </c>
      <c r="O7" s="108">
        <f>20%*'C - O&amp;M'!O6</f>
        <v>3538.8982718019288</v>
      </c>
      <c r="P7" s="108">
        <f>20%*'C - O&amp;M'!P6</f>
        <v>3761.6566983728844</v>
      </c>
      <c r="Q7" s="108">
        <f>20%*'C - O&amp;M'!Q6</f>
        <v>3998.436809885663</v>
      </c>
      <c r="R7" s="108">
        <f>20%*'C - O&amp;M'!R6</f>
        <v>4250.1212111046907</v>
      </c>
      <c r="S7" s="108">
        <f>20%*'C - O&amp;M'!S6</f>
        <v>4517.6480629685229</v>
      </c>
      <c r="T7" s="108">
        <f>20%*'C - O&amp;M'!T6</f>
        <v>4802.0145796120732</v>
      </c>
      <c r="U7" s="108">
        <f>20%*'C - O&amp;M'!U6</f>
        <v>5104.280745511358</v>
      </c>
      <c r="V7" s="108">
        <f>20%*'C - O&amp;M'!V6</f>
        <v>5425.5732666065142</v>
      </c>
      <c r="W7" s="108">
        <f>20%*'C - O&amp;M'!W6</f>
        <v>5767.0897701310187</v>
      </c>
      <c r="X7" s="108">
        <f>20%*'C - O&amp;M'!X6</f>
        <v>6130.1032688020932</v>
      </c>
      <c r="Y7" s="108">
        <f>20%*'C - O&amp;M'!Y6</f>
        <v>6515.9669060127017</v>
      </c>
      <c r="Z7" s="108">
        <f>20%*'C - O&amp;M'!Z6</f>
        <v>6926.1189997129659</v>
      </c>
      <c r="AA7" s="108">
        <f>20%*'C - O&amp;M'!AA6</f>
        <v>7362.088403782237</v>
      </c>
      <c r="AB7" s="19">
        <f>20%*'C - O&amp;M'!AB6</f>
        <v>7825.5002068764734</v>
      </c>
    </row>
    <row r="8" spans="1:28" x14ac:dyDescent="0.25">
      <c r="B8" s="66" t="s">
        <v>113</v>
      </c>
      <c r="C8" s="73" t="s">
        <v>0</v>
      </c>
      <c r="D8" s="70">
        <f ca="1">D17</f>
        <v>25597.583196459051</v>
      </c>
      <c r="E8" s="63">
        <f t="shared" ref="E8:AB8" ca="1" si="1">E17</f>
        <v>24813.156591489886</v>
      </c>
      <c r="F8" s="63">
        <f t="shared" ca="1" si="1"/>
        <v>24141.108790379505</v>
      </c>
      <c r="G8" s="63">
        <f t="shared" ca="1" si="1"/>
        <v>23569.22325484093</v>
      </c>
      <c r="H8" s="63">
        <f t="shared" ca="1" si="1"/>
        <v>23086.723255605182</v>
      </c>
      <c r="I8" s="63">
        <f t="shared" ca="1" si="1"/>
        <v>22684.189235211899</v>
      </c>
      <c r="J8" s="63">
        <f t="shared" ca="1" si="1"/>
        <v>22353.414234675383</v>
      </c>
      <c r="K8" s="63">
        <f t="shared" ca="1" si="1"/>
        <v>22087.263559050763</v>
      </c>
      <c r="L8" s="63">
        <f t="shared" ca="1" si="1"/>
        <v>22073.742141117276</v>
      </c>
      <c r="M8" s="63">
        <f t="shared" ca="1" si="1"/>
        <v>22237.407357963762</v>
      </c>
      <c r="N8" s="63">
        <f t="shared" ca="1" si="1"/>
        <v>22411.3745963404</v>
      </c>
      <c r="O8" s="63">
        <f t="shared" ca="1" si="1"/>
        <v>22596.2923241969</v>
      </c>
      <c r="P8" s="63">
        <f t="shared" ca="1" si="1"/>
        <v>21051.495191687558</v>
      </c>
      <c r="Q8" s="63">
        <f t="shared" ca="1" si="1"/>
        <v>21260.425144761732</v>
      </c>
      <c r="R8" s="63">
        <f t="shared" ca="1" si="1"/>
        <v>21482.506339842825</v>
      </c>
      <c r="S8" s="63">
        <f t="shared" ca="1" si="1"/>
        <v>21718.566591056006</v>
      </c>
      <c r="T8" s="63">
        <f t="shared" ca="1" si="1"/>
        <v>21969.485819865462</v>
      </c>
      <c r="U8" s="63">
        <f t="shared" ca="1" si="1"/>
        <v>22236.199335007292</v>
      </c>
      <c r="V8" s="63">
        <f t="shared" ca="1" si="1"/>
        <v>22519.701318880085</v>
      </c>
      <c r="W8" s="63">
        <f t="shared" ca="1" si="1"/>
        <v>22821.048533388763</v>
      </c>
      <c r="X8" s="63">
        <f t="shared" ca="1" si="1"/>
        <v>23141.364259055383</v>
      </c>
      <c r="Y8" s="63">
        <f t="shared" ca="1" si="1"/>
        <v>23481.842482080003</v>
      </c>
      <c r="Z8" s="63">
        <f t="shared" ca="1" si="1"/>
        <v>23843.75234495903</v>
      </c>
      <c r="AA8" s="63">
        <f t="shared" ca="1" si="1"/>
        <v>24228.442877250851</v>
      </c>
      <c r="AB8" s="67">
        <f t="shared" ca="1" si="1"/>
        <v>24637.348024122832</v>
      </c>
    </row>
    <row r="9" spans="1:28" x14ac:dyDescent="0.25">
      <c r="B9" s="66" t="s">
        <v>114</v>
      </c>
      <c r="C9" s="73" t="s">
        <v>0</v>
      </c>
      <c r="D9" s="113">
        <f t="shared" ref="D9:AB9" ca="1" si="2">SUM(D4:D8)</f>
        <v>34065.6607933833</v>
      </c>
      <c r="E9" s="63">
        <f t="shared" ca="1" si="2"/>
        <v>33442.734188414135</v>
      </c>
      <c r="F9" s="63">
        <f t="shared" ca="1" si="2"/>
        <v>32942.103053970422</v>
      </c>
      <c r="G9" s="63">
        <f t="shared" ca="1" si="2"/>
        <v>32552.398108713329</v>
      </c>
      <c r="H9" s="63">
        <f t="shared" ca="1" si="2"/>
        <v>32263.546184418406</v>
      </c>
      <c r="I9" s="63">
        <f t="shared" ca="1" si="2"/>
        <v>32066.849552466716</v>
      </c>
      <c r="J9" s="63">
        <f t="shared" ca="1" si="2"/>
        <v>31954.868518735198</v>
      </c>
      <c r="K9" s="63">
        <f t="shared" ca="1" si="2"/>
        <v>31921.283949164972</v>
      </c>
      <c r="L9" s="63">
        <f t="shared" ca="1" si="2"/>
        <v>32154.967673471576</v>
      </c>
      <c r="M9" s="63">
        <f t="shared" ca="1" si="2"/>
        <v>32581.39853311405</v>
      </c>
      <c r="N9" s="63">
        <f t="shared" ca="1" si="2"/>
        <v>33034.671381431974</v>
      </c>
      <c r="O9" s="63">
        <f t="shared" ca="1" si="2"/>
        <v>33516.475806173883</v>
      </c>
      <c r="P9" s="63">
        <f t="shared" ca="1" si="2"/>
        <v>32287.253111306731</v>
      </c>
      <c r="Q9" s="63">
        <f t="shared" ca="1" si="2"/>
        <v>32831.621555690668</v>
      </c>
      <c r="R9" s="63">
        <f t="shared" ca="1" si="2"/>
        <v>33410.255652498723</v>
      </c>
      <c r="S9" s="63">
        <f t="shared" ca="1" si="2"/>
        <v>34025.312277185665</v>
      </c>
      <c r="T9" s="63">
        <f t="shared" ca="1" si="2"/>
        <v>34679.084071240155</v>
      </c>
      <c r="U9" s="63">
        <f t="shared" ca="1" si="2"/>
        <v>35374.007988072633</v>
      </c>
      <c r="V9" s="63">
        <f t="shared" ca="1" si="2"/>
        <v>36112.674376830233</v>
      </c>
      <c r="W9" s="63">
        <f t="shared" ca="1" si="2"/>
        <v>36897.836637998626</v>
      </c>
      <c r="X9" s="63">
        <f t="shared" ca="1" si="2"/>
        <v>37732.421486782601</v>
      </c>
      <c r="Y9" s="63">
        <f t="shared" ca="1" si="2"/>
        <v>38619.539862522244</v>
      </c>
      <c r="Z9" s="63">
        <f t="shared" ca="1" si="2"/>
        <v>39562.498524809984</v>
      </c>
      <c r="AA9" s="63">
        <f t="shared" ca="1" si="2"/>
        <v>40564.812379533272</v>
      </c>
      <c r="AB9" s="67">
        <f t="shared" ca="1" si="2"/>
        <v>41630.217580788754</v>
      </c>
    </row>
    <row r="10" spans="1:28" x14ac:dyDescent="0.25">
      <c r="A10" s="35"/>
      <c r="B10" s="66" t="s">
        <v>115</v>
      </c>
      <c r="C10" s="73" t="s">
        <v>25</v>
      </c>
      <c r="D10" s="117">
        <f>'C - Assumptions'!$E$19</f>
        <v>0.128</v>
      </c>
      <c r="E10" s="64">
        <f>D10</f>
        <v>0.128</v>
      </c>
      <c r="F10" s="64">
        <f t="shared" ref="F10:AB10" si="3">E10</f>
        <v>0.128</v>
      </c>
      <c r="G10" s="64">
        <f t="shared" si="3"/>
        <v>0.128</v>
      </c>
      <c r="H10" s="64">
        <f t="shared" si="3"/>
        <v>0.128</v>
      </c>
      <c r="I10" s="64">
        <f t="shared" si="3"/>
        <v>0.128</v>
      </c>
      <c r="J10" s="64">
        <f t="shared" si="3"/>
        <v>0.128</v>
      </c>
      <c r="K10" s="64">
        <f t="shared" si="3"/>
        <v>0.128</v>
      </c>
      <c r="L10" s="64">
        <f t="shared" si="3"/>
        <v>0.128</v>
      </c>
      <c r="M10" s="64">
        <f t="shared" si="3"/>
        <v>0.128</v>
      </c>
      <c r="N10" s="64">
        <f t="shared" si="3"/>
        <v>0.128</v>
      </c>
      <c r="O10" s="64">
        <f t="shared" si="3"/>
        <v>0.128</v>
      </c>
      <c r="P10" s="64">
        <f t="shared" si="3"/>
        <v>0.128</v>
      </c>
      <c r="Q10" s="64">
        <f t="shared" si="3"/>
        <v>0.128</v>
      </c>
      <c r="R10" s="64">
        <f t="shared" si="3"/>
        <v>0.128</v>
      </c>
      <c r="S10" s="64">
        <f t="shared" si="3"/>
        <v>0.128</v>
      </c>
      <c r="T10" s="64">
        <f t="shared" si="3"/>
        <v>0.128</v>
      </c>
      <c r="U10" s="64">
        <f t="shared" si="3"/>
        <v>0.128</v>
      </c>
      <c r="V10" s="64">
        <f t="shared" si="3"/>
        <v>0.128</v>
      </c>
      <c r="W10" s="64">
        <f t="shared" si="3"/>
        <v>0.128</v>
      </c>
      <c r="X10" s="64">
        <f t="shared" si="3"/>
        <v>0.128</v>
      </c>
      <c r="Y10" s="64">
        <f t="shared" si="3"/>
        <v>0.128</v>
      </c>
      <c r="Z10" s="64">
        <f t="shared" si="3"/>
        <v>0.128</v>
      </c>
      <c r="AA10" s="64">
        <f t="shared" si="3"/>
        <v>0.128</v>
      </c>
      <c r="AB10" s="68">
        <f t="shared" si="3"/>
        <v>0.128</v>
      </c>
    </row>
    <row r="11" spans="1:28" ht="15.75" thickBot="1" x14ac:dyDescent="0.3">
      <c r="A11" s="2"/>
      <c r="B11" s="84" t="s">
        <v>47</v>
      </c>
      <c r="C11" s="85" t="s">
        <v>0</v>
      </c>
      <c r="D11" s="86">
        <f ca="1">D10*D9</f>
        <v>4360.4045815530626</v>
      </c>
      <c r="E11" s="87">
        <f t="shared" ref="E11:AB11" ca="1" si="4">E10*E9</f>
        <v>4280.6699761170094</v>
      </c>
      <c r="F11" s="87">
        <f t="shared" ca="1" si="4"/>
        <v>4216.5891909082138</v>
      </c>
      <c r="G11" s="87">
        <f t="shared" ca="1" si="4"/>
        <v>4166.7069579153058</v>
      </c>
      <c r="H11" s="87">
        <f t="shared" ca="1" si="4"/>
        <v>4129.7339116055564</v>
      </c>
      <c r="I11" s="87">
        <f t="shared" ca="1" si="4"/>
        <v>4104.5567427157393</v>
      </c>
      <c r="J11" s="87">
        <f t="shared" ca="1" si="4"/>
        <v>4090.2231703981056</v>
      </c>
      <c r="K11" s="87">
        <f t="shared" ca="1" si="4"/>
        <v>4085.9243454931166</v>
      </c>
      <c r="L11" s="87">
        <f t="shared" ca="1" si="4"/>
        <v>4115.8358622043615</v>
      </c>
      <c r="M11" s="87">
        <f t="shared" ca="1" si="4"/>
        <v>4170.419012238599</v>
      </c>
      <c r="N11" s="87">
        <f t="shared" ca="1" si="4"/>
        <v>4228.4379368232931</v>
      </c>
      <c r="O11" s="87">
        <f t="shared" ca="1" si="4"/>
        <v>4290.1089031902575</v>
      </c>
      <c r="P11" s="87">
        <f t="shared" ca="1" si="4"/>
        <v>4132.7683982472618</v>
      </c>
      <c r="Q11" s="87">
        <f t="shared" ca="1" si="4"/>
        <v>4202.4475591284054</v>
      </c>
      <c r="R11" s="87">
        <f t="shared" ca="1" si="4"/>
        <v>4276.512723519837</v>
      </c>
      <c r="S11" s="87">
        <f t="shared" ca="1" si="4"/>
        <v>4355.2399714797648</v>
      </c>
      <c r="T11" s="87">
        <f t="shared" ca="1" si="4"/>
        <v>4438.9227611187398</v>
      </c>
      <c r="U11" s="87">
        <f t="shared" ca="1" si="4"/>
        <v>4527.8730224732972</v>
      </c>
      <c r="V11" s="87">
        <f t="shared" ca="1" si="4"/>
        <v>4622.42232023427</v>
      </c>
      <c r="W11" s="87">
        <f t="shared" ca="1" si="4"/>
        <v>4722.9230896638246</v>
      </c>
      <c r="X11" s="87">
        <f t="shared" ca="1" si="4"/>
        <v>4829.7499503081726</v>
      </c>
      <c r="Y11" s="87">
        <f t="shared" ca="1" si="4"/>
        <v>4943.3011024028474</v>
      </c>
      <c r="Z11" s="87">
        <f t="shared" ca="1" si="4"/>
        <v>5063.9998111756777</v>
      </c>
      <c r="AA11" s="87">
        <f t="shared" ca="1" si="4"/>
        <v>5192.2959845802588</v>
      </c>
      <c r="AB11" s="88">
        <f t="shared" ca="1" si="4"/>
        <v>5328.6678503409603</v>
      </c>
    </row>
    <row r="13" spans="1:28" ht="15.75" thickBot="1" x14ac:dyDescent="0.3">
      <c r="B13" s="2" t="s">
        <v>312</v>
      </c>
      <c r="C13" s="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ht="15.75" thickBot="1" x14ac:dyDescent="0.3">
      <c r="B14" s="122"/>
      <c r="C14" s="123" t="s">
        <v>4</v>
      </c>
      <c r="D14" s="124">
        <v>1</v>
      </c>
      <c r="E14" s="125">
        <v>2</v>
      </c>
      <c r="F14" s="125">
        <v>3</v>
      </c>
      <c r="G14" s="125">
        <v>4</v>
      </c>
      <c r="H14" s="125">
        <v>5</v>
      </c>
      <c r="I14" s="125">
        <v>6</v>
      </c>
      <c r="J14" s="125">
        <v>7</v>
      </c>
      <c r="K14" s="125">
        <v>8</v>
      </c>
      <c r="L14" s="125">
        <v>9</v>
      </c>
      <c r="M14" s="125">
        <v>10</v>
      </c>
      <c r="N14" s="125">
        <v>11</v>
      </c>
      <c r="O14" s="125">
        <v>12</v>
      </c>
      <c r="P14" s="125">
        <v>13</v>
      </c>
      <c r="Q14" s="125">
        <v>14</v>
      </c>
      <c r="R14" s="125">
        <v>15</v>
      </c>
      <c r="S14" s="125">
        <v>16</v>
      </c>
      <c r="T14" s="125">
        <v>17</v>
      </c>
      <c r="U14" s="125">
        <v>18</v>
      </c>
      <c r="V14" s="125">
        <v>19</v>
      </c>
      <c r="W14" s="125">
        <v>20</v>
      </c>
      <c r="X14" s="125">
        <v>21</v>
      </c>
      <c r="Y14" s="125">
        <v>22</v>
      </c>
      <c r="Z14" s="125">
        <v>23</v>
      </c>
      <c r="AA14" s="125">
        <v>24</v>
      </c>
      <c r="AB14" s="126">
        <v>25</v>
      </c>
    </row>
    <row r="15" spans="1:28" x14ac:dyDescent="0.25">
      <c r="B15" s="74" t="s">
        <v>116</v>
      </c>
      <c r="C15" s="75" t="s">
        <v>0</v>
      </c>
      <c r="D15" s="76">
        <f>'C - Generation'!E11</f>
        <v>13027.268065675666</v>
      </c>
      <c r="E15" s="77">
        <f>'C - Generation'!F11</f>
        <v>13027.268065675666</v>
      </c>
      <c r="F15" s="77">
        <f>'C - Generation'!G11</f>
        <v>13027.268065675666</v>
      </c>
      <c r="G15" s="77">
        <f>'C - Generation'!H11</f>
        <v>13027.268065675666</v>
      </c>
      <c r="H15" s="77">
        <f>'C - Generation'!I11</f>
        <v>13027.268065675666</v>
      </c>
      <c r="I15" s="77">
        <f>'C - Generation'!J11</f>
        <v>13027.268065675666</v>
      </c>
      <c r="J15" s="77">
        <f>'C - Generation'!K11</f>
        <v>13027.268065675666</v>
      </c>
      <c r="K15" s="77">
        <f>'C - Generation'!L11</f>
        <v>13027.268065675666</v>
      </c>
      <c r="L15" s="77">
        <f>'C - Generation'!M11</f>
        <v>13027.268065675666</v>
      </c>
      <c r="M15" s="77">
        <f>'C - Generation'!N11</f>
        <v>13027.268065675666</v>
      </c>
      <c r="N15" s="77">
        <f>'C - Generation'!O11</f>
        <v>13027.268065675666</v>
      </c>
      <c r="O15" s="77">
        <f>'C - Generation'!P11</f>
        <v>13027.268065675666</v>
      </c>
      <c r="P15" s="77">
        <f>'C - Generation'!Q11</f>
        <v>13027.268065675666</v>
      </c>
      <c r="Q15" s="77">
        <f>'C - Generation'!R11</f>
        <v>13027.268065675666</v>
      </c>
      <c r="R15" s="77">
        <f>'C - Generation'!S11</f>
        <v>13027.268065675666</v>
      </c>
      <c r="S15" s="77">
        <f>'C - Generation'!T11</f>
        <v>13027.268065675666</v>
      </c>
      <c r="T15" s="77">
        <f>'C - Generation'!U11</f>
        <v>13027.268065675666</v>
      </c>
      <c r="U15" s="77">
        <f>'C - Generation'!V11</f>
        <v>13027.268065675666</v>
      </c>
      <c r="V15" s="77">
        <f>'C - Generation'!W11</f>
        <v>13027.268065675666</v>
      </c>
      <c r="W15" s="77">
        <f>'C - Generation'!X11</f>
        <v>13027.268065675666</v>
      </c>
      <c r="X15" s="77">
        <f>'C - Generation'!Y11</f>
        <v>13027.268065675666</v>
      </c>
      <c r="Y15" s="77">
        <f>'C - Generation'!Z11</f>
        <v>13027.268065675666</v>
      </c>
      <c r="Z15" s="77">
        <f>'C - Generation'!AA11</f>
        <v>13027.268065675666</v>
      </c>
      <c r="AA15" s="77">
        <f>'C - Generation'!AB11</f>
        <v>13027.268065675666</v>
      </c>
      <c r="AB15" s="78">
        <f>'C - Generation'!AC11</f>
        <v>13027.268065675666</v>
      </c>
    </row>
    <row r="16" spans="1:28" x14ac:dyDescent="0.25">
      <c r="B16" s="66" t="s">
        <v>117</v>
      </c>
      <c r="C16" s="73" t="s">
        <v>0</v>
      </c>
      <c r="D16" s="70">
        <f ca="1">'C_D - Pre-GST LCOE'!E9*2/12</f>
        <v>12570.315130783385</v>
      </c>
      <c r="E16" s="70">
        <f ca="1">'C_D - Pre-GST LCOE'!F9*2/12</f>
        <v>11785.88852581422</v>
      </c>
      <c r="F16" s="70">
        <f ca="1">'C_D - Pre-GST LCOE'!G9*2/12</f>
        <v>11113.840724703841</v>
      </c>
      <c r="G16" s="70">
        <f ca="1">'C_D - Pre-GST LCOE'!H9*2/12</f>
        <v>10541.955189165266</v>
      </c>
      <c r="H16" s="70">
        <f ca="1">'C_D - Pre-GST LCOE'!I9*2/12</f>
        <v>10059.455189929515</v>
      </c>
      <c r="I16" s="70">
        <f ca="1">'C_D - Pre-GST LCOE'!J9*2/12</f>
        <v>9656.9211695362337</v>
      </c>
      <c r="J16" s="70">
        <f ca="1">'C_D - Pre-GST LCOE'!K9*2/12</f>
        <v>9326.1461689997177</v>
      </c>
      <c r="K16" s="70">
        <f ca="1">'C_D - Pre-GST LCOE'!L9*2/12</f>
        <v>9059.9954933750978</v>
      </c>
      <c r="L16" s="70">
        <f ca="1">'C_D - Pre-GST LCOE'!M9*2/12</f>
        <v>9046.4740754416125</v>
      </c>
      <c r="M16" s="70">
        <f ca="1">'C_D - Pre-GST LCOE'!N9*2/12</f>
        <v>9210.1392922880968</v>
      </c>
      <c r="N16" s="70">
        <f ca="1">'C_D - Pre-GST LCOE'!O9*2/12</f>
        <v>9384.1065306647342</v>
      </c>
      <c r="O16" s="70">
        <f ca="1">'C_D - Pre-GST LCOE'!P9*2/12</f>
        <v>9569.0242585212345</v>
      </c>
      <c r="P16" s="70">
        <f ca="1">'C_D - Pre-GST LCOE'!Q9*2/12</f>
        <v>8024.2271260118914</v>
      </c>
      <c r="Q16" s="70">
        <f ca="1">'C_D - Pre-GST LCOE'!R9*2/12</f>
        <v>8233.157079086066</v>
      </c>
      <c r="R16" s="70">
        <f ca="1">'C_D - Pre-GST LCOE'!S9*2/12</f>
        <v>8455.238274167159</v>
      </c>
      <c r="S16" s="70">
        <f ca="1">'C_D - Pre-GST LCOE'!T9*2/12</f>
        <v>8691.2985253803417</v>
      </c>
      <c r="T16" s="70">
        <f ca="1">'C_D - Pre-GST LCOE'!U9*2/12</f>
        <v>8942.2177541897963</v>
      </c>
      <c r="U16" s="70">
        <f ca="1">'C_D - Pre-GST LCOE'!V9*2/12</f>
        <v>9208.931269331626</v>
      </c>
      <c r="V16" s="70">
        <f ca="1">'C_D - Pre-GST LCOE'!W9*2/12</f>
        <v>9492.4332532044191</v>
      </c>
      <c r="W16" s="70">
        <f ca="1">'C_D - Pre-GST LCOE'!X9*2/12</f>
        <v>9793.7804677130971</v>
      </c>
      <c r="X16" s="70">
        <f ca="1">'C_D - Pre-GST LCOE'!Y9*2/12</f>
        <v>10114.096193379717</v>
      </c>
      <c r="Y16" s="70">
        <f ca="1">'C_D - Pre-GST LCOE'!Z9*2/12</f>
        <v>10454.574416404337</v>
      </c>
      <c r="Z16" s="70">
        <f ca="1">'C_D - Pre-GST LCOE'!AA9*2/12</f>
        <v>10816.484279283362</v>
      </c>
      <c r="AA16" s="70">
        <f ca="1">'C_D - Pre-GST LCOE'!AB9*2/12</f>
        <v>11201.174811575185</v>
      </c>
      <c r="AB16" s="308">
        <f ca="1">'C_D - Pre-GST LCOE'!AC9*2/12</f>
        <v>11610.079958447166</v>
      </c>
    </row>
    <row r="17" spans="1:28" ht="15.75" thickBot="1" x14ac:dyDescent="0.3">
      <c r="B17" s="84" t="s">
        <v>2</v>
      </c>
      <c r="C17" s="85" t="s">
        <v>0</v>
      </c>
      <c r="D17" s="86">
        <f ca="1">SUM(D15:D16)</f>
        <v>25597.583196459051</v>
      </c>
      <c r="E17" s="87">
        <f t="shared" ref="E17:AB17" ca="1" si="5">SUM(E15:E16)</f>
        <v>24813.156591489886</v>
      </c>
      <c r="F17" s="87">
        <f t="shared" ca="1" si="5"/>
        <v>24141.108790379505</v>
      </c>
      <c r="G17" s="87">
        <f t="shared" ca="1" si="5"/>
        <v>23569.22325484093</v>
      </c>
      <c r="H17" s="87">
        <f t="shared" ca="1" si="5"/>
        <v>23086.723255605182</v>
      </c>
      <c r="I17" s="87">
        <f t="shared" ca="1" si="5"/>
        <v>22684.189235211899</v>
      </c>
      <c r="J17" s="87">
        <f t="shared" ca="1" si="5"/>
        <v>22353.414234675383</v>
      </c>
      <c r="K17" s="87">
        <f t="shared" ca="1" si="5"/>
        <v>22087.263559050763</v>
      </c>
      <c r="L17" s="87">
        <f t="shared" ca="1" si="5"/>
        <v>22073.742141117276</v>
      </c>
      <c r="M17" s="87">
        <f t="shared" ca="1" si="5"/>
        <v>22237.407357963762</v>
      </c>
      <c r="N17" s="87">
        <f t="shared" ca="1" si="5"/>
        <v>22411.3745963404</v>
      </c>
      <c r="O17" s="87">
        <f t="shared" ca="1" si="5"/>
        <v>22596.2923241969</v>
      </c>
      <c r="P17" s="87">
        <f t="shared" ca="1" si="5"/>
        <v>21051.495191687558</v>
      </c>
      <c r="Q17" s="87">
        <f t="shared" ca="1" si="5"/>
        <v>21260.425144761732</v>
      </c>
      <c r="R17" s="87">
        <f t="shared" ca="1" si="5"/>
        <v>21482.506339842825</v>
      </c>
      <c r="S17" s="87">
        <f t="shared" ca="1" si="5"/>
        <v>21718.566591056006</v>
      </c>
      <c r="T17" s="87">
        <f t="shared" ca="1" si="5"/>
        <v>21969.485819865462</v>
      </c>
      <c r="U17" s="87">
        <f t="shared" ca="1" si="5"/>
        <v>22236.199335007292</v>
      </c>
      <c r="V17" s="87">
        <f t="shared" ca="1" si="5"/>
        <v>22519.701318880085</v>
      </c>
      <c r="W17" s="87">
        <f t="shared" ca="1" si="5"/>
        <v>22821.048533388763</v>
      </c>
      <c r="X17" s="87">
        <f t="shared" ca="1" si="5"/>
        <v>23141.364259055383</v>
      </c>
      <c r="Y17" s="87">
        <f t="shared" ca="1" si="5"/>
        <v>23481.842482080003</v>
      </c>
      <c r="Z17" s="87">
        <f t="shared" ca="1" si="5"/>
        <v>23843.75234495903</v>
      </c>
      <c r="AA17" s="87">
        <f t="shared" ca="1" si="5"/>
        <v>24228.442877250851</v>
      </c>
      <c r="AB17" s="88">
        <f t="shared" ca="1" si="5"/>
        <v>24637.348024122832</v>
      </c>
    </row>
    <row r="19" spans="1:28" x14ac:dyDescent="0.25">
      <c r="A19" s="307" t="s">
        <v>222</v>
      </c>
      <c r="B19" s="35" t="s">
        <v>52</v>
      </c>
    </row>
    <row r="20" spans="1:28" ht="15.75" thickBot="1" x14ac:dyDescent="0.3"/>
    <row r="21" spans="1:28" ht="15.75" thickBot="1" x14ac:dyDescent="0.3">
      <c r="A21" s="55"/>
      <c r="B21" s="114"/>
      <c r="C21" s="83" t="s">
        <v>4</v>
      </c>
      <c r="D21" s="81">
        <v>1</v>
      </c>
      <c r="E21" s="82">
        <v>2</v>
      </c>
      <c r="F21" s="82">
        <v>3</v>
      </c>
      <c r="G21" s="82">
        <v>4</v>
      </c>
      <c r="H21" s="82">
        <v>5</v>
      </c>
      <c r="I21" s="82">
        <v>6</v>
      </c>
      <c r="J21" s="82">
        <v>7</v>
      </c>
      <c r="K21" s="82">
        <v>8</v>
      </c>
      <c r="L21" s="82">
        <v>9</v>
      </c>
      <c r="M21" s="82">
        <v>10</v>
      </c>
      <c r="N21" s="82">
        <v>11</v>
      </c>
      <c r="O21" s="82">
        <v>12</v>
      </c>
      <c r="P21" s="82">
        <v>13</v>
      </c>
      <c r="Q21" s="82">
        <v>14</v>
      </c>
      <c r="R21" s="82">
        <v>15</v>
      </c>
      <c r="S21" s="82">
        <v>16</v>
      </c>
      <c r="T21" s="82">
        <v>17</v>
      </c>
      <c r="U21" s="82">
        <v>18</v>
      </c>
      <c r="V21" s="82">
        <v>19</v>
      </c>
      <c r="W21" s="82">
        <v>20</v>
      </c>
      <c r="X21" s="82">
        <v>21</v>
      </c>
      <c r="Y21" s="82">
        <v>22</v>
      </c>
      <c r="Z21" s="82">
        <v>23</v>
      </c>
      <c r="AA21" s="82">
        <v>24</v>
      </c>
      <c r="AB21" s="83">
        <v>25</v>
      </c>
    </row>
    <row r="22" spans="1:28" x14ac:dyDescent="0.25">
      <c r="B22" s="74" t="s">
        <v>151</v>
      </c>
      <c r="C22" s="75" t="s">
        <v>0</v>
      </c>
      <c r="D22" s="76">
        <f>'C_D - VC'!L28*30*24*'C - Assumptions'!F24*'C - Assumptions'!F4*'C - Assumptions'!F3/100</f>
        <v>5672.3817735586526</v>
      </c>
      <c r="E22" s="77">
        <f>D22</f>
        <v>5672.3817735586526</v>
      </c>
      <c r="F22" s="77">
        <f t="shared" ref="F22:AB23" si="6">E22</f>
        <v>5672.3817735586526</v>
      </c>
      <c r="G22" s="77">
        <f t="shared" si="6"/>
        <v>5672.3817735586526</v>
      </c>
      <c r="H22" s="77">
        <f t="shared" si="6"/>
        <v>5672.3817735586526</v>
      </c>
      <c r="I22" s="77">
        <f t="shared" si="6"/>
        <v>5672.3817735586526</v>
      </c>
      <c r="J22" s="77">
        <f t="shared" si="6"/>
        <v>5672.3817735586526</v>
      </c>
      <c r="K22" s="77">
        <f t="shared" si="6"/>
        <v>5672.3817735586526</v>
      </c>
      <c r="L22" s="77">
        <f t="shared" si="6"/>
        <v>5672.3817735586526</v>
      </c>
      <c r="M22" s="77">
        <f t="shared" si="6"/>
        <v>5672.3817735586526</v>
      </c>
      <c r="N22" s="77">
        <f t="shared" si="6"/>
        <v>5672.3817735586526</v>
      </c>
      <c r="O22" s="77">
        <f t="shared" si="6"/>
        <v>5672.3817735586526</v>
      </c>
      <c r="P22" s="77">
        <f t="shared" si="6"/>
        <v>5672.3817735586526</v>
      </c>
      <c r="Q22" s="77">
        <f t="shared" si="6"/>
        <v>5672.3817735586526</v>
      </c>
      <c r="R22" s="77">
        <f t="shared" si="6"/>
        <v>5672.3817735586526</v>
      </c>
      <c r="S22" s="77">
        <f t="shared" si="6"/>
        <v>5672.3817735586526</v>
      </c>
      <c r="T22" s="77">
        <f t="shared" si="6"/>
        <v>5672.3817735586526</v>
      </c>
      <c r="U22" s="77">
        <f t="shared" si="6"/>
        <v>5672.3817735586526</v>
      </c>
      <c r="V22" s="77">
        <f t="shared" si="6"/>
        <v>5672.3817735586526</v>
      </c>
      <c r="W22" s="77">
        <f t="shared" si="6"/>
        <v>5672.3817735586526</v>
      </c>
      <c r="X22" s="77">
        <f t="shared" si="6"/>
        <v>5672.3817735586526</v>
      </c>
      <c r="Y22" s="77">
        <f t="shared" si="6"/>
        <v>5672.3817735586526</v>
      </c>
      <c r="Z22" s="77">
        <f t="shared" si="6"/>
        <v>5672.3817735586526</v>
      </c>
      <c r="AA22" s="77">
        <f t="shared" si="6"/>
        <v>5672.3817735586526</v>
      </c>
      <c r="AB22" s="78">
        <f t="shared" si="6"/>
        <v>5672.3817735586526</v>
      </c>
    </row>
    <row r="23" spans="1:28" x14ac:dyDescent="0.25">
      <c r="B23" s="66" t="s">
        <v>109</v>
      </c>
      <c r="C23" s="73" t="s">
        <v>0</v>
      </c>
      <c r="D23" s="70">
        <f>'C_D - VC'!L32*60*24*1000*'C - Assumptions'!F27*'C - Assumptions'!F4*'C - Assumptions'!F3/10^11</f>
        <v>91.8</v>
      </c>
      <c r="E23" s="63">
        <f>D23</f>
        <v>91.8</v>
      </c>
      <c r="F23" s="63">
        <f t="shared" si="6"/>
        <v>91.8</v>
      </c>
      <c r="G23" s="63">
        <f t="shared" si="6"/>
        <v>91.8</v>
      </c>
      <c r="H23" s="63">
        <f t="shared" si="6"/>
        <v>91.8</v>
      </c>
      <c r="I23" s="63">
        <f t="shared" si="6"/>
        <v>91.8</v>
      </c>
      <c r="J23" s="63">
        <f t="shared" si="6"/>
        <v>91.8</v>
      </c>
      <c r="K23" s="63">
        <f t="shared" si="6"/>
        <v>91.8</v>
      </c>
      <c r="L23" s="63">
        <f t="shared" si="6"/>
        <v>91.8</v>
      </c>
      <c r="M23" s="63">
        <f t="shared" si="6"/>
        <v>91.8</v>
      </c>
      <c r="N23" s="63">
        <f t="shared" si="6"/>
        <v>91.8</v>
      </c>
      <c r="O23" s="63">
        <f t="shared" si="6"/>
        <v>91.8</v>
      </c>
      <c r="P23" s="63">
        <f t="shared" si="6"/>
        <v>91.8</v>
      </c>
      <c r="Q23" s="63">
        <f t="shared" si="6"/>
        <v>91.8</v>
      </c>
      <c r="R23" s="63">
        <f t="shared" si="6"/>
        <v>91.8</v>
      </c>
      <c r="S23" s="63">
        <f t="shared" si="6"/>
        <v>91.8</v>
      </c>
      <c r="T23" s="63">
        <f t="shared" si="6"/>
        <v>91.8</v>
      </c>
      <c r="U23" s="63">
        <f t="shared" si="6"/>
        <v>91.8</v>
      </c>
      <c r="V23" s="63">
        <f t="shared" si="6"/>
        <v>91.8</v>
      </c>
      <c r="W23" s="63">
        <f t="shared" si="6"/>
        <v>91.8</v>
      </c>
      <c r="X23" s="63">
        <f t="shared" si="6"/>
        <v>91.8</v>
      </c>
      <c r="Y23" s="63">
        <f t="shared" si="6"/>
        <v>91.8</v>
      </c>
      <c r="Z23" s="63">
        <f t="shared" si="6"/>
        <v>91.8</v>
      </c>
      <c r="AA23" s="63">
        <f t="shared" si="6"/>
        <v>91.8</v>
      </c>
      <c r="AB23" s="67">
        <f t="shared" si="6"/>
        <v>91.8</v>
      </c>
    </row>
    <row r="24" spans="1:28" x14ac:dyDescent="0.25">
      <c r="B24" s="66" t="s">
        <v>110</v>
      </c>
      <c r="C24" s="73" t="s">
        <v>0</v>
      </c>
      <c r="D24" s="113">
        <f>'C - O&amp;M'!D6/12</f>
        <v>753.33333333333337</v>
      </c>
      <c r="E24" s="108">
        <f>'C - O&amp;M'!E6/12</f>
        <v>800.83333333333337</v>
      </c>
      <c r="F24" s="108">
        <f>'C - O&amp;M'!F6/12</f>
        <v>851.25</v>
      </c>
      <c r="G24" s="108">
        <f>'C - O&amp;M'!G6/12</f>
        <v>904.83252655337674</v>
      </c>
      <c r="H24" s="108">
        <f>'C - O&amp;M'!H6/12</f>
        <v>961.78784271244319</v>
      </c>
      <c r="I24" s="108">
        <f>'C - O&amp;M'!I6/12</f>
        <v>1022.3282510776172</v>
      </c>
      <c r="J24" s="108">
        <f>'C - O&amp;M'!J6/12</f>
        <v>1086.6794177849695</v>
      </c>
      <c r="K24" s="108">
        <f>'C - O&amp;M'!K6/12</f>
        <v>1155.0812136833204</v>
      </c>
      <c r="L24" s="108">
        <f>'C - O&amp;M'!L6/12</f>
        <v>1227.7886084598176</v>
      </c>
      <c r="M24" s="108">
        <f>'C - O&amp;M'!M6/12</f>
        <v>1305.072621046874</v>
      </c>
      <c r="N24" s="108">
        <f>'C - O&amp;M'!N6/12</f>
        <v>1387.2213298531342</v>
      </c>
      <c r="O24" s="108">
        <f>'C - O&amp;M'!O6/12</f>
        <v>1474.5409465841369</v>
      </c>
      <c r="P24" s="108">
        <f>'C - O&amp;M'!P6/12</f>
        <v>1567.3569576553684</v>
      </c>
      <c r="Q24" s="108">
        <f>'C - O&amp;M'!Q6/12</f>
        <v>1666.0153374523595</v>
      </c>
      <c r="R24" s="108">
        <f>'C - O&amp;M'!R6/12</f>
        <v>1770.8838379602878</v>
      </c>
      <c r="S24" s="108">
        <f>'C - O&amp;M'!S6/12</f>
        <v>1882.3533595702177</v>
      </c>
      <c r="T24" s="108">
        <f>'C - O&amp;M'!T6/12</f>
        <v>2000.839408171697</v>
      </c>
      <c r="U24" s="108">
        <f>'C - O&amp;M'!U6/12</f>
        <v>2126.7836439630655</v>
      </c>
      <c r="V24" s="108">
        <f>'C - O&amp;M'!V6/12</f>
        <v>2260.6555277527141</v>
      </c>
      <c r="W24" s="108">
        <f>'C - O&amp;M'!W6/12</f>
        <v>2402.9540708879244</v>
      </c>
      <c r="X24" s="108">
        <f>'C - O&amp;M'!X6/12</f>
        <v>2554.2096953342057</v>
      </c>
      <c r="Y24" s="108">
        <f>'C - O&amp;M'!Y6/12</f>
        <v>2714.9862108386255</v>
      </c>
      <c r="Z24" s="108">
        <f>'C - O&amp;M'!Z6/12</f>
        <v>2885.8829165470688</v>
      </c>
      <c r="AA24" s="108">
        <f>'C - O&amp;M'!AA6/12</f>
        <v>3067.5368349092655</v>
      </c>
      <c r="AB24" s="19">
        <f>'C - O&amp;M'!AB6/12</f>
        <v>3260.6250861985304</v>
      </c>
    </row>
    <row r="25" spans="1:28" x14ac:dyDescent="0.25">
      <c r="A25" t="s">
        <v>181</v>
      </c>
      <c r="B25" s="66" t="s">
        <v>112</v>
      </c>
      <c r="C25" s="73" t="s">
        <v>0</v>
      </c>
      <c r="D25" s="113">
        <f>20%*'C - O&amp;M'!D6</f>
        <v>1808</v>
      </c>
      <c r="E25" s="108">
        <f>20%*'C - O&amp;M'!E6</f>
        <v>1922</v>
      </c>
      <c r="F25" s="108">
        <f>20%*'C - O&amp;M'!F6</f>
        <v>2043</v>
      </c>
      <c r="G25" s="108">
        <f>20%*'C - O&amp;M'!G6</f>
        <v>2171.5980637281041</v>
      </c>
      <c r="H25" s="108">
        <f>20%*'C - O&amp;M'!H6</f>
        <v>2308.2908225098636</v>
      </c>
      <c r="I25" s="108">
        <f>20%*'C - O&amp;M'!I6</f>
        <v>2453.5878025862817</v>
      </c>
      <c r="J25" s="108">
        <f>20%*'C - O&amp;M'!J6</f>
        <v>2608.0306026839271</v>
      </c>
      <c r="K25" s="108">
        <f>20%*'C - O&amp;M'!K6</f>
        <v>2772.1949128399692</v>
      </c>
      <c r="L25" s="108">
        <f>20%*'C - O&amp;M'!L6</f>
        <v>2946.6926603035627</v>
      </c>
      <c r="M25" s="108">
        <f>20%*'C - O&amp;M'!M6</f>
        <v>3132.1742905124975</v>
      </c>
      <c r="N25" s="108">
        <f>20%*'C - O&amp;M'!N6</f>
        <v>3329.3311916475222</v>
      </c>
      <c r="O25" s="108">
        <f>20%*'C - O&amp;M'!O6</f>
        <v>3538.8982718019288</v>
      </c>
      <c r="P25" s="108">
        <f>20%*'C - O&amp;M'!P6</f>
        <v>3761.6566983728844</v>
      </c>
      <c r="Q25" s="108">
        <f>20%*'C - O&amp;M'!Q6</f>
        <v>3998.436809885663</v>
      </c>
      <c r="R25" s="108">
        <f>20%*'C - O&amp;M'!R6</f>
        <v>4250.1212111046907</v>
      </c>
      <c r="S25" s="108">
        <f>20%*'C - O&amp;M'!S6</f>
        <v>4517.6480629685229</v>
      </c>
      <c r="T25" s="108">
        <f>20%*'C - O&amp;M'!T6</f>
        <v>4802.0145796120732</v>
      </c>
      <c r="U25" s="108">
        <f>20%*'C - O&amp;M'!U6</f>
        <v>5104.280745511358</v>
      </c>
      <c r="V25" s="108">
        <f>20%*'C - O&amp;M'!V6</f>
        <v>5425.5732666065142</v>
      </c>
      <c r="W25" s="108">
        <f>20%*'C - O&amp;M'!W6</f>
        <v>5767.0897701310187</v>
      </c>
      <c r="X25" s="108">
        <f>20%*'C - O&amp;M'!X6</f>
        <v>6130.1032688020932</v>
      </c>
      <c r="Y25" s="108">
        <f>20%*'C - O&amp;M'!Y6</f>
        <v>6515.9669060127017</v>
      </c>
      <c r="Z25" s="108">
        <f>20%*'C - O&amp;M'!Z6</f>
        <v>6926.1189997129659</v>
      </c>
      <c r="AA25" s="108">
        <f>20%*'C - O&amp;M'!AA6</f>
        <v>7362.088403782237</v>
      </c>
      <c r="AB25" s="19">
        <f>20%*'C - O&amp;M'!AB6</f>
        <v>7825.5002068764734</v>
      </c>
    </row>
    <row r="26" spans="1:28" x14ac:dyDescent="0.25">
      <c r="B26" s="66" t="s">
        <v>113</v>
      </c>
      <c r="C26" s="73" t="s">
        <v>0</v>
      </c>
      <c r="D26" s="70">
        <f ca="1">D35</f>
        <v>25268.129585840503</v>
      </c>
      <c r="E26" s="63">
        <f t="shared" ref="E26:AB26" ca="1" si="7">E35</f>
        <v>24483.702980871338</v>
      </c>
      <c r="F26" s="63">
        <f t="shared" ca="1" si="7"/>
        <v>23811.655179760961</v>
      </c>
      <c r="G26" s="63">
        <f t="shared" ca="1" si="7"/>
        <v>23239.769644222386</v>
      </c>
      <c r="H26" s="63">
        <f t="shared" ca="1" si="7"/>
        <v>22757.269644986634</v>
      </c>
      <c r="I26" s="63">
        <f t="shared" ca="1" si="7"/>
        <v>22354.735624593355</v>
      </c>
      <c r="J26" s="63">
        <f t="shared" ca="1" si="7"/>
        <v>22023.960624056836</v>
      </c>
      <c r="K26" s="63">
        <f t="shared" ca="1" si="7"/>
        <v>21757.809948432216</v>
      </c>
      <c r="L26" s="63">
        <f t="shared" ca="1" si="7"/>
        <v>21744.288530498729</v>
      </c>
      <c r="M26" s="63">
        <f t="shared" ca="1" si="7"/>
        <v>21907.953747345215</v>
      </c>
      <c r="N26" s="63">
        <f t="shared" ca="1" si="7"/>
        <v>22081.920985721852</v>
      </c>
      <c r="O26" s="63">
        <f t="shared" ca="1" si="7"/>
        <v>22266.838713578352</v>
      </c>
      <c r="P26" s="63">
        <f t="shared" ca="1" si="7"/>
        <v>20722.04158106901</v>
      </c>
      <c r="Q26" s="63">
        <f t="shared" ca="1" si="7"/>
        <v>20930.971534143184</v>
      </c>
      <c r="R26" s="63">
        <f t="shared" ca="1" si="7"/>
        <v>21153.052729224277</v>
      </c>
      <c r="S26" s="63">
        <f t="shared" ca="1" si="7"/>
        <v>21389.112980437458</v>
      </c>
      <c r="T26" s="63">
        <f t="shared" ca="1" si="7"/>
        <v>21640.032209246914</v>
      </c>
      <c r="U26" s="63">
        <f t="shared" ca="1" si="7"/>
        <v>21906.745724388744</v>
      </c>
      <c r="V26" s="63">
        <f t="shared" ca="1" si="7"/>
        <v>22190.247708261537</v>
      </c>
      <c r="W26" s="63">
        <f t="shared" ca="1" si="7"/>
        <v>22491.594922770215</v>
      </c>
      <c r="X26" s="63">
        <f t="shared" ca="1" si="7"/>
        <v>22811.910648436835</v>
      </c>
      <c r="Y26" s="63">
        <f t="shared" ca="1" si="7"/>
        <v>23152.388871461455</v>
      </c>
      <c r="Z26" s="63">
        <f t="shared" ca="1" si="7"/>
        <v>23514.298734340482</v>
      </c>
      <c r="AA26" s="63">
        <f t="shared" ca="1" si="7"/>
        <v>23898.989266632303</v>
      </c>
      <c r="AB26" s="67">
        <f t="shared" ca="1" si="7"/>
        <v>24307.894413504284</v>
      </c>
    </row>
    <row r="27" spans="1:28" x14ac:dyDescent="0.25">
      <c r="B27" s="66" t="s">
        <v>114</v>
      </c>
      <c r="C27" s="73" t="s">
        <v>0</v>
      </c>
      <c r="D27" s="113">
        <f ca="1">SUM(D22:D26)</f>
        <v>33593.644692732487</v>
      </c>
      <c r="E27" s="63">
        <f t="shared" ref="E27:AB27" ca="1" si="8">SUM(E22:E26)</f>
        <v>32970.718087763322</v>
      </c>
      <c r="F27" s="63">
        <f t="shared" ca="1" si="8"/>
        <v>32470.086953319613</v>
      </c>
      <c r="G27" s="63">
        <f t="shared" ca="1" si="8"/>
        <v>32080.382008062519</v>
      </c>
      <c r="H27" s="63">
        <f t="shared" ca="1" si="8"/>
        <v>31791.530083767593</v>
      </c>
      <c r="I27" s="63">
        <f t="shared" ca="1" si="8"/>
        <v>31594.833451815906</v>
      </c>
      <c r="J27" s="63">
        <f t="shared" ca="1" si="8"/>
        <v>31482.852418084385</v>
      </c>
      <c r="K27" s="63">
        <f t="shared" ca="1" si="8"/>
        <v>31449.267848514159</v>
      </c>
      <c r="L27" s="63">
        <f t="shared" ca="1" si="8"/>
        <v>31682.951572820763</v>
      </c>
      <c r="M27" s="63">
        <f t="shared" ca="1" si="8"/>
        <v>32109.382432463237</v>
      </c>
      <c r="N27" s="63">
        <f t="shared" ca="1" si="8"/>
        <v>32562.65528078116</v>
      </c>
      <c r="O27" s="63">
        <f t="shared" ca="1" si="8"/>
        <v>33044.45970552307</v>
      </c>
      <c r="P27" s="63">
        <f t="shared" ca="1" si="8"/>
        <v>31815.237010655917</v>
      </c>
      <c r="Q27" s="63">
        <f t="shared" ca="1" si="8"/>
        <v>32359.605455039858</v>
      </c>
      <c r="R27" s="63">
        <f t="shared" ca="1" si="8"/>
        <v>32938.23955184791</v>
      </c>
      <c r="S27" s="63">
        <f t="shared" ca="1" si="8"/>
        <v>33553.296176534852</v>
      </c>
      <c r="T27" s="63">
        <f t="shared" ca="1" si="8"/>
        <v>34207.067970589342</v>
      </c>
      <c r="U27" s="63">
        <f t="shared" ca="1" si="8"/>
        <v>34901.99188742182</v>
      </c>
      <c r="V27" s="63">
        <f t="shared" ca="1" si="8"/>
        <v>35640.65827617942</v>
      </c>
      <c r="W27" s="63">
        <f t="shared" ca="1" si="8"/>
        <v>36425.820537347812</v>
      </c>
      <c r="X27" s="63">
        <f t="shared" ca="1" si="8"/>
        <v>37260.405386131788</v>
      </c>
      <c r="Y27" s="63">
        <f t="shared" ca="1" si="8"/>
        <v>38147.523761871431</v>
      </c>
      <c r="Z27" s="63">
        <f t="shared" ca="1" si="8"/>
        <v>39090.48242415917</v>
      </c>
      <c r="AA27" s="63">
        <f t="shared" ca="1" si="8"/>
        <v>40092.796278882459</v>
      </c>
      <c r="AB27" s="67">
        <f t="shared" ca="1" si="8"/>
        <v>41158.201480137941</v>
      </c>
    </row>
    <row r="28" spans="1:28" x14ac:dyDescent="0.25">
      <c r="A28" s="35"/>
      <c r="B28" s="66" t="s">
        <v>115</v>
      </c>
      <c r="C28" s="73" t="s">
        <v>25</v>
      </c>
      <c r="D28" s="117">
        <f>'C - Assumptions'!F19</f>
        <v>0.128</v>
      </c>
      <c r="E28" s="64">
        <f>D28</f>
        <v>0.128</v>
      </c>
      <c r="F28" s="64">
        <f t="shared" ref="F28:AB28" si="9">E28</f>
        <v>0.128</v>
      </c>
      <c r="G28" s="64">
        <f t="shared" si="9"/>
        <v>0.128</v>
      </c>
      <c r="H28" s="64">
        <f t="shared" si="9"/>
        <v>0.128</v>
      </c>
      <c r="I28" s="64">
        <f t="shared" si="9"/>
        <v>0.128</v>
      </c>
      <c r="J28" s="64">
        <f t="shared" si="9"/>
        <v>0.128</v>
      </c>
      <c r="K28" s="64">
        <f t="shared" si="9"/>
        <v>0.128</v>
      </c>
      <c r="L28" s="64">
        <f t="shared" si="9"/>
        <v>0.128</v>
      </c>
      <c r="M28" s="64">
        <f t="shared" si="9"/>
        <v>0.128</v>
      </c>
      <c r="N28" s="64">
        <f t="shared" si="9"/>
        <v>0.128</v>
      </c>
      <c r="O28" s="64">
        <f t="shared" si="9"/>
        <v>0.128</v>
      </c>
      <c r="P28" s="64">
        <f t="shared" si="9"/>
        <v>0.128</v>
      </c>
      <c r="Q28" s="64">
        <f t="shared" si="9"/>
        <v>0.128</v>
      </c>
      <c r="R28" s="64">
        <f t="shared" si="9"/>
        <v>0.128</v>
      </c>
      <c r="S28" s="64">
        <f t="shared" si="9"/>
        <v>0.128</v>
      </c>
      <c r="T28" s="64">
        <f t="shared" si="9"/>
        <v>0.128</v>
      </c>
      <c r="U28" s="64">
        <f t="shared" si="9"/>
        <v>0.128</v>
      </c>
      <c r="V28" s="64">
        <f t="shared" si="9"/>
        <v>0.128</v>
      </c>
      <c r="W28" s="64">
        <f t="shared" si="9"/>
        <v>0.128</v>
      </c>
      <c r="X28" s="64">
        <f t="shared" si="9"/>
        <v>0.128</v>
      </c>
      <c r="Y28" s="64">
        <f t="shared" si="9"/>
        <v>0.128</v>
      </c>
      <c r="Z28" s="64">
        <f t="shared" si="9"/>
        <v>0.128</v>
      </c>
      <c r="AA28" s="64">
        <f t="shared" si="9"/>
        <v>0.128</v>
      </c>
      <c r="AB28" s="68">
        <f t="shared" si="9"/>
        <v>0.128</v>
      </c>
    </row>
    <row r="29" spans="1:28" ht="15.75" thickBot="1" x14ac:dyDescent="0.3">
      <c r="A29" s="2"/>
      <c r="B29" s="84" t="s">
        <v>47</v>
      </c>
      <c r="C29" s="85" t="s">
        <v>0</v>
      </c>
      <c r="D29" s="86">
        <f ca="1">D28*D27</f>
        <v>4299.9865206697586</v>
      </c>
      <c r="E29" s="87">
        <f t="shared" ref="E29:AB29" ca="1" si="10">E28*E27</f>
        <v>4220.2519152337054</v>
      </c>
      <c r="F29" s="87">
        <f t="shared" ca="1" si="10"/>
        <v>4156.1711300249108</v>
      </c>
      <c r="G29" s="87">
        <f t="shared" ca="1" si="10"/>
        <v>4106.2888970320028</v>
      </c>
      <c r="H29" s="87">
        <f t="shared" ca="1" si="10"/>
        <v>4069.315850722252</v>
      </c>
      <c r="I29" s="87">
        <f t="shared" ca="1" si="10"/>
        <v>4044.1386818324363</v>
      </c>
      <c r="J29" s="87">
        <f t="shared" ca="1" si="10"/>
        <v>4029.8051095148012</v>
      </c>
      <c r="K29" s="87">
        <f t="shared" ca="1" si="10"/>
        <v>4025.5062846098126</v>
      </c>
      <c r="L29" s="87">
        <f t="shared" ca="1" si="10"/>
        <v>4055.4178013210576</v>
      </c>
      <c r="M29" s="87">
        <f t="shared" ca="1" si="10"/>
        <v>4110.0009513552941</v>
      </c>
      <c r="N29" s="87">
        <f t="shared" ca="1" si="10"/>
        <v>4168.0198759399882</v>
      </c>
      <c r="O29" s="87">
        <f t="shared" ca="1" si="10"/>
        <v>4229.6908423069526</v>
      </c>
      <c r="P29" s="87">
        <f t="shared" ca="1" si="10"/>
        <v>4072.3503373639574</v>
      </c>
      <c r="Q29" s="87">
        <f t="shared" ca="1" si="10"/>
        <v>4142.0294982451023</v>
      </c>
      <c r="R29" s="87">
        <f t="shared" ca="1" si="10"/>
        <v>4216.0946626365321</v>
      </c>
      <c r="S29" s="87">
        <f t="shared" ca="1" si="10"/>
        <v>4294.8219105964608</v>
      </c>
      <c r="T29" s="87">
        <f t="shared" ca="1" si="10"/>
        <v>4378.5047002354358</v>
      </c>
      <c r="U29" s="87">
        <f t="shared" ca="1" si="10"/>
        <v>4467.4549615899932</v>
      </c>
      <c r="V29" s="87">
        <f t="shared" ca="1" si="10"/>
        <v>4562.0042593509661</v>
      </c>
      <c r="W29" s="87">
        <f t="shared" ca="1" si="10"/>
        <v>4662.5050287805198</v>
      </c>
      <c r="X29" s="87">
        <f t="shared" ca="1" si="10"/>
        <v>4769.3318894248687</v>
      </c>
      <c r="Y29" s="87">
        <f t="shared" ca="1" si="10"/>
        <v>4882.8830415195434</v>
      </c>
      <c r="Z29" s="87">
        <f t="shared" ca="1" si="10"/>
        <v>5003.5817502923737</v>
      </c>
      <c r="AA29" s="87">
        <f t="shared" ca="1" si="10"/>
        <v>5131.8779236969549</v>
      </c>
      <c r="AB29" s="88">
        <f t="shared" ca="1" si="10"/>
        <v>5268.2497894576563</v>
      </c>
    </row>
    <row r="30" spans="1:28" x14ac:dyDescent="0.25">
      <c r="A30" s="2"/>
      <c r="B30" s="2"/>
      <c r="C30" s="2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1:28" ht="15.75" thickBot="1" x14ac:dyDescent="0.3">
      <c r="A31" s="2"/>
      <c r="B31" s="2" t="s">
        <v>312</v>
      </c>
      <c r="C31" s="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1:28" ht="15.75" thickBot="1" x14ac:dyDescent="0.3">
      <c r="A32" s="2"/>
      <c r="B32" s="122"/>
      <c r="C32" s="123" t="s">
        <v>4</v>
      </c>
      <c r="D32" s="124">
        <v>1</v>
      </c>
      <c r="E32" s="125">
        <v>2</v>
      </c>
      <c r="F32" s="125">
        <v>3</v>
      </c>
      <c r="G32" s="125">
        <v>4</v>
      </c>
      <c r="H32" s="125">
        <v>5</v>
      </c>
      <c r="I32" s="125">
        <v>6</v>
      </c>
      <c r="J32" s="125">
        <v>7</v>
      </c>
      <c r="K32" s="125">
        <v>8</v>
      </c>
      <c r="L32" s="125">
        <v>9</v>
      </c>
      <c r="M32" s="125">
        <v>10</v>
      </c>
      <c r="N32" s="125">
        <v>11</v>
      </c>
      <c r="O32" s="125">
        <v>12</v>
      </c>
      <c r="P32" s="125">
        <v>13</v>
      </c>
      <c r="Q32" s="125">
        <v>14</v>
      </c>
      <c r="R32" s="125">
        <v>15</v>
      </c>
      <c r="S32" s="125">
        <v>16</v>
      </c>
      <c r="T32" s="125">
        <v>17</v>
      </c>
      <c r="U32" s="125">
        <v>18</v>
      </c>
      <c r="V32" s="125">
        <v>19</v>
      </c>
      <c r="W32" s="125">
        <v>20</v>
      </c>
      <c r="X32" s="125">
        <v>21</v>
      </c>
      <c r="Y32" s="125">
        <v>22</v>
      </c>
      <c r="Z32" s="125">
        <v>23</v>
      </c>
      <c r="AA32" s="125">
        <v>24</v>
      </c>
      <c r="AB32" s="126">
        <v>25</v>
      </c>
    </row>
    <row r="33" spans="1:29" x14ac:dyDescent="0.25">
      <c r="A33" s="2"/>
      <c r="B33" s="74" t="s">
        <v>116</v>
      </c>
      <c r="C33" s="75" t="s">
        <v>0</v>
      </c>
      <c r="D33" s="76">
        <f>'C - Generation'!E14</f>
        <v>12707.884131871002</v>
      </c>
      <c r="E33" s="77">
        <f>'C - Generation'!F14</f>
        <v>12707.884131871002</v>
      </c>
      <c r="F33" s="77">
        <f>'C - Generation'!G14</f>
        <v>12707.884131871002</v>
      </c>
      <c r="G33" s="77">
        <f>'C - Generation'!H14</f>
        <v>12707.884131871002</v>
      </c>
      <c r="H33" s="77">
        <f>'C - Generation'!I14</f>
        <v>12707.884131871002</v>
      </c>
      <c r="I33" s="77">
        <f>'C - Generation'!J14</f>
        <v>12707.884131871002</v>
      </c>
      <c r="J33" s="77">
        <f>'C - Generation'!K14</f>
        <v>12707.884131871002</v>
      </c>
      <c r="K33" s="77">
        <f>'C - Generation'!L14</f>
        <v>12707.884131871002</v>
      </c>
      <c r="L33" s="77">
        <f>'C - Generation'!M14</f>
        <v>12707.884131871002</v>
      </c>
      <c r="M33" s="77">
        <f>'C - Generation'!N14</f>
        <v>12707.884131871002</v>
      </c>
      <c r="N33" s="77">
        <f>'C - Generation'!O14</f>
        <v>12707.884131871002</v>
      </c>
      <c r="O33" s="77">
        <f>'C - Generation'!P14</f>
        <v>12707.884131871002</v>
      </c>
      <c r="P33" s="77">
        <f>'C - Generation'!Q14</f>
        <v>12707.884131871002</v>
      </c>
      <c r="Q33" s="77">
        <f>'C - Generation'!R14</f>
        <v>12707.884131871002</v>
      </c>
      <c r="R33" s="77">
        <f>'C - Generation'!S14</f>
        <v>12707.884131871002</v>
      </c>
      <c r="S33" s="77">
        <f>'C - Generation'!T14</f>
        <v>12707.884131871002</v>
      </c>
      <c r="T33" s="77">
        <f>'C - Generation'!U14</f>
        <v>12707.884131871002</v>
      </c>
      <c r="U33" s="77">
        <f>'C - Generation'!V14</f>
        <v>12707.884131871002</v>
      </c>
      <c r="V33" s="77">
        <f>'C - Generation'!W14</f>
        <v>12707.884131871002</v>
      </c>
      <c r="W33" s="77">
        <f>'C - Generation'!X14</f>
        <v>12707.884131871002</v>
      </c>
      <c r="X33" s="77">
        <f>'C - Generation'!Y14</f>
        <v>12707.884131871002</v>
      </c>
      <c r="Y33" s="77">
        <f>'C - Generation'!Z14</f>
        <v>12707.884131871002</v>
      </c>
      <c r="Z33" s="77">
        <f>'C - Generation'!AA14</f>
        <v>12707.884131871002</v>
      </c>
      <c r="AA33" s="77">
        <f>'C - Generation'!AB14</f>
        <v>12707.884131871002</v>
      </c>
      <c r="AB33" s="78">
        <f>'C - Generation'!AC14</f>
        <v>12707.884131871002</v>
      </c>
    </row>
    <row r="34" spans="1:29" x14ac:dyDescent="0.25">
      <c r="A34" s="2"/>
      <c r="B34" s="66" t="s">
        <v>117</v>
      </c>
      <c r="C34" s="73" t="s">
        <v>0</v>
      </c>
      <c r="D34" s="70">
        <f ca="1">'C_D - Post-GST LCOE'!E9/6</f>
        <v>12560.245453969501</v>
      </c>
      <c r="E34" s="63">
        <f ca="1">'C_D - Post-GST LCOE'!F9/6</f>
        <v>11775.818849000336</v>
      </c>
      <c r="F34" s="63">
        <f ca="1">'C_D - Post-GST LCOE'!G9/6</f>
        <v>11103.771047889959</v>
      </c>
      <c r="G34" s="63">
        <f ca="1">'C_D - Post-GST LCOE'!H9/6</f>
        <v>10531.885512351384</v>
      </c>
      <c r="H34" s="63">
        <f ca="1">'C_D - Post-GST LCOE'!I9/6</f>
        <v>10049.385513115631</v>
      </c>
      <c r="I34" s="63">
        <f ca="1">'C_D - Post-GST LCOE'!J9/6</f>
        <v>9646.8514927223514</v>
      </c>
      <c r="J34" s="63">
        <f ca="1">'C_D - Post-GST LCOE'!K9/6</f>
        <v>9316.0764921858336</v>
      </c>
      <c r="K34" s="63">
        <f ca="1">'C_D - Post-GST LCOE'!L9/6</f>
        <v>9049.9258165612137</v>
      </c>
      <c r="L34" s="63">
        <f ca="1">'C_D - Post-GST LCOE'!M9/6</f>
        <v>9036.4043986277284</v>
      </c>
      <c r="M34" s="63">
        <f ca="1">'C_D - Post-GST LCOE'!N9/6</f>
        <v>9200.0696154742127</v>
      </c>
      <c r="N34" s="63">
        <f ca="1">'C_D - Post-GST LCOE'!O9/6</f>
        <v>9374.0368538508501</v>
      </c>
      <c r="O34" s="63">
        <f ca="1">'C_D - Post-GST LCOE'!P9/6</f>
        <v>9558.9545817073504</v>
      </c>
      <c r="P34" s="63">
        <f ca="1">'C_D - Post-GST LCOE'!Q9/6</f>
        <v>8014.1574491980073</v>
      </c>
      <c r="Q34" s="63">
        <f ca="1">'C_D - Post-GST LCOE'!R9/6</f>
        <v>8223.0874022721819</v>
      </c>
      <c r="R34" s="63">
        <f ca="1">'C_D - Post-GST LCOE'!S9/6</f>
        <v>8445.1685973532749</v>
      </c>
      <c r="S34" s="63">
        <f ca="1">'C_D - Post-GST LCOE'!T9/6</f>
        <v>8681.2288485664576</v>
      </c>
      <c r="T34" s="63">
        <f ca="1">'C_D - Post-GST LCOE'!U9/6</f>
        <v>8932.1480773759122</v>
      </c>
      <c r="U34" s="63">
        <f ca="1">'C_D - Post-GST LCOE'!V9/6</f>
        <v>9198.8615925177419</v>
      </c>
      <c r="V34" s="63">
        <f ca="1">'C_D - Post-GST LCOE'!W9/6</f>
        <v>9482.3635763905349</v>
      </c>
      <c r="W34" s="63">
        <f ca="1">'C_D - Post-GST LCOE'!X9/6</f>
        <v>9783.710790899213</v>
      </c>
      <c r="X34" s="63">
        <f ca="1">'C_D - Post-GST LCOE'!Y9/6</f>
        <v>10104.026516565833</v>
      </c>
      <c r="Y34" s="63">
        <f ca="1">'C_D - Post-GST LCOE'!Z9/6</f>
        <v>10444.504739590453</v>
      </c>
      <c r="Z34" s="63">
        <f ca="1">'C_D - Post-GST LCOE'!AA9/6</f>
        <v>10806.414602469478</v>
      </c>
      <c r="AA34" s="63">
        <f ca="1">'C_D - Post-GST LCOE'!AB9/6</f>
        <v>11191.105134761301</v>
      </c>
      <c r="AB34" s="67">
        <f ca="1">'C_D - Post-GST LCOE'!AC9/6</f>
        <v>11600.010281633282</v>
      </c>
    </row>
    <row r="35" spans="1:29" ht="15.75" thickBot="1" x14ac:dyDescent="0.3">
      <c r="A35" s="2"/>
      <c r="B35" s="84" t="s">
        <v>2</v>
      </c>
      <c r="C35" s="85" t="s">
        <v>0</v>
      </c>
      <c r="D35" s="86">
        <f ca="1">SUM(D33:D34)</f>
        <v>25268.129585840503</v>
      </c>
      <c r="E35" s="87">
        <f t="shared" ref="E35:AB35" ca="1" si="11">SUM(E33:E34)</f>
        <v>24483.702980871338</v>
      </c>
      <c r="F35" s="87">
        <f t="shared" ca="1" si="11"/>
        <v>23811.655179760961</v>
      </c>
      <c r="G35" s="87">
        <f t="shared" ca="1" si="11"/>
        <v>23239.769644222386</v>
      </c>
      <c r="H35" s="87">
        <f t="shared" ca="1" si="11"/>
        <v>22757.269644986634</v>
      </c>
      <c r="I35" s="87">
        <f t="shared" ca="1" si="11"/>
        <v>22354.735624593355</v>
      </c>
      <c r="J35" s="87">
        <f t="shared" ca="1" si="11"/>
        <v>22023.960624056836</v>
      </c>
      <c r="K35" s="87">
        <f t="shared" ca="1" si="11"/>
        <v>21757.809948432216</v>
      </c>
      <c r="L35" s="87">
        <f t="shared" ca="1" si="11"/>
        <v>21744.288530498729</v>
      </c>
      <c r="M35" s="87">
        <f t="shared" ca="1" si="11"/>
        <v>21907.953747345215</v>
      </c>
      <c r="N35" s="87">
        <f t="shared" ca="1" si="11"/>
        <v>22081.920985721852</v>
      </c>
      <c r="O35" s="87">
        <f t="shared" ca="1" si="11"/>
        <v>22266.838713578352</v>
      </c>
      <c r="P35" s="87">
        <f t="shared" ca="1" si="11"/>
        <v>20722.04158106901</v>
      </c>
      <c r="Q35" s="87">
        <f t="shared" ca="1" si="11"/>
        <v>20930.971534143184</v>
      </c>
      <c r="R35" s="87">
        <f t="shared" ca="1" si="11"/>
        <v>21153.052729224277</v>
      </c>
      <c r="S35" s="87">
        <f t="shared" ca="1" si="11"/>
        <v>21389.112980437458</v>
      </c>
      <c r="T35" s="87">
        <f t="shared" ca="1" si="11"/>
        <v>21640.032209246914</v>
      </c>
      <c r="U35" s="87">
        <f t="shared" ca="1" si="11"/>
        <v>21906.745724388744</v>
      </c>
      <c r="V35" s="87">
        <f t="shared" ca="1" si="11"/>
        <v>22190.247708261537</v>
      </c>
      <c r="W35" s="87">
        <f t="shared" ca="1" si="11"/>
        <v>22491.594922770215</v>
      </c>
      <c r="X35" s="87">
        <f t="shared" ca="1" si="11"/>
        <v>22811.910648436835</v>
      </c>
      <c r="Y35" s="87">
        <f t="shared" ca="1" si="11"/>
        <v>23152.388871461455</v>
      </c>
      <c r="Z35" s="87">
        <f t="shared" ca="1" si="11"/>
        <v>23514.298734340482</v>
      </c>
      <c r="AA35" s="87">
        <f t="shared" ca="1" si="11"/>
        <v>23898.989266632303</v>
      </c>
      <c r="AB35" s="88">
        <f t="shared" ca="1" si="11"/>
        <v>24307.894413504284</v>
      </c>
      <c r="AC35" s="2"/>
    </row>
    <row r="37" spans="1:29" x14ac:dyDescent="0.25">
      <c r="A37" s="307" t="s">
        <v>221</v>
      </c>
      <c r="B37" s="35" t="s">
        <v>51</v>
      </c>
    </row>
    <row r="38" spans="1:29" s="2" customFormat="1" ht="15.75" thickBot="1" x14ac:dyDescent="0.3">
      <c r="D38" s="55"/>
      <c r="E38" s="55"/>
      <c r="F38" s="55"/>
    </row>
    <row r="39" spans="1:29" ht="15.75" thickBot="1" x14ac:dyDescent="0.3">
      <c r="A39" s="55"/>
      <c r="B39" s="114"/>
      <c r="C39" s="83" t="s">
        <v>4</v>
      </c>
      <c r="D39" s="81">
        <v>1</v>
      </c>
      <c r="E39" s="82">
        <v>2</v>
      </c>
      <c r="F39" s="82">
        <v>3</v>
      </c>
      <c r="G39" s="82">
        <v>4</v>
      </c>
      <c r="H39" s="82">
        <v>5</v>
      </c>
      <c r="I39" s="82">
        <v>6</v>
      </c>
      <c r="J39" s="82">
        <v>7</v>
      </c>
      <c r="K39" s="82">
        <v>8</v>
      </c>
      <c r="L39" s="82">
        <v>9</v>
      </c>
      <c r="M39" s="82">
        <v>10</v>
      </c>
      <c r="N39" s="82">
        <v>11</v>
      </c>
      <c r="O39" s="82">
        <v>12</v>
      </c>
      <c r="P39" s="82">
        <v>13</v>
      </c>
      <c r="Q39" s="82">
        <v>14</v>
      </c>
      <c r="R39" s="82">
        <v>15</v>
      </c>
      <c r="S39" s="82">
        <v>16</v>
      </c>
      <c r="T39" s="82">
        <v>17</v>
      </c>
      <c r="U39" s="82">
        <v>18</v>
      </c>
      <c r="V39" s="82">
        <v>19</v>
      </c>
      <c r="W39" s="82">
        <v>20</v>
      </c>
      <c r="X39" s="82">
        <v>21</v>
      </c>
      <c r="Y39" s="82">
        <v>22</v>
      </c>
      <c r="Z39" s="82">
        <v>23</v>
      </c>
      <c r="AA39" s="82">
        <v>24</v>
      </c>
      <c r="AB39" s="83">
        <v>25</v>
      </c>
    </row>
    <row r="40" spans="1:29" x14ac:dyDescent="0.25">
      <c r="B40" s="74" t="s">
        <v>151</v>
      </c>
      <c r="C40" s="75" t="s">
        <v>0</v>
      </c>
      <c r="D40" s="76">
        <f>'C_DI - VC'!G34*30*24*0.61587*'C - Assumptions'!E4*'C - Assumptions'!E3/100</f>
        <v>7220.8792756164094</v>
      </c>
      <c r="E40" s="77">
        <f>D40</f>
        <v>7220.8792756164094</v>
      </c>
      <c r="F40" s="77">
        <f t="shared" ref="F40:AB40" si="12">E40</f>
        <v>7220.8792756164094</v>
      </c>
      <c r="G40" s="77">
        <f t="shared" si="12"/>
        <v>7220.8792756164094</v>
      </c>
      <c r="H40" s="77">
        <f t="shared" si="12"/>
        <v>7220.8792756164094</v>
      </c>
      <c r="I40" s="77">
        <f t="shared" si="12"/>
        <v>7220.8792756164094</v>
      </c>
      <c r="J40" s="77">
        <f t="shared" si="12"/>
        <v>7220.8792756164094</v>
      </c>
      <c r="K40" s="77">
        <f t="shared" si="12"/>
        <v>7220.8792756164094</v>
      </c>
      <c r="L40" s="77">
        <f t="shared" si="12"/>
        <v>7220.8792756164094</v>
      </c>
      <c r="M40" s="77">
        <f t="shared" si="12"/>
        <v>7220.8792756164094</v>
      </c>
      <c r="N40" s="77">
        <f t="shared" si="12"/>
        <v>7220.8792756164094</v>
      </c>
      <c r="O40" s="77">
        <f t="shared" si="12"/>
        <v>7220.8792756164094</v>
      </c>
      <c r="P40" s="77">
        <f t="shared" si="12"/>
        <v>7220.8792756164094</v>
      </c>
      <c r="Q40" s="77">
        <f t="shared" si="12"/>
        <v>7220.8792756164094</v>
      </c>
      <c r="R40" s="77">
        <f t="shared" si="12"/>
        <v>7220.8792756164094</v>
      </c>
      <c r="S40" s="77">
        <f t="shared" si="12"/>
        <v>7220.8792756164094</v>
      </c>
      <c r="T40" s="77">
        <f t="shared" si="12"/>
        <v>7220.8792756164094</v>
      </c>
      <c r="U40" s="77">
        <f t="shared" si="12"/>
        <v>7220.8792756164094</v>
      </c>
      <c r="V40" s="77">
        <f t="shared" si="12"/>
        <v>7220.8792756164094</v>
      </c>
      <c r="W40" s="77">
        <f t="shared" si="12"/>
        <v>7220.8792756164094</v>
      </c>
      <c r="X40" s="77">
        <f t="shared" si="12"/>
        <v>7220.8792756164094</v>
      </c>
      <c r="Y40" s="77">
        <f t="shared" si="12"/>
        <v>7220.8792756164094</v>
      </c>
      <c r="Z40" s="77">
        <f t="shared" si="12"/>
        <v>7220.8792756164094</v>
      </c>
      <c r="AA40" s="77">
        <f t="shared" si="12"/>
        <v>7220.8792756164094</v>
      </c>
      <c r="AB40" s="78">
        <f t="shared" si="12"/>
        <v>7220.8792756164094</v>
      </c>
    </row>
    <row r="41" spans="1:29" x14ac:dyDescent="0.25">
      <c r="B41" s="66" t="s">
        <v>109</v>
      </c>
      <c r="C41" s="73" t="s">
        <v>0</v>
      </c>
      <c r="D41" s="70">
        <f>'C - Assumptions'!E27*'C - Assumptions'!E3*1000*24*60*'C - Assumptions'!E4*'C_DI - VC'!F36/10^11</f>
        <v>91.8</v>
      </c>
      <c r="E41" s="63">
        <f>D41</f>
        <v>91.8</v>
      </c>
      <c r="F41" s="63">
        <f>E41</f>
        <v>91.8</v>
      </c>
      <c r="G41" s="63">
        <f t="shared" ref="G41:AB41" si="13">F41</f>
        <v>91.8</v>
      </c>
      <c r="H41" s="63">
        <f t="shared" si="13"/>
        <v>91.8</v>
      </c>
      <c r="I41" s="63">
        <f t="shared" si="13"/>
        <v>91.8</v>
      </c>
      <c r="J41" s="63">
        <f t="shared" si="13"/>
        <v>91.8</v>
      </c>
      <c r="K41" s="63">
        <f t="shared" si="13"/>
        <v>91.8</v>
      </c>
      <c r="L41" s="63">
        <f t="shared" si="13"/>
        <v>91.8</v>
      </c>
      <c r="M41" s="63">
        <f t="shared" si="13"/>
        <v>91.8</v>
      </c>
      <c r="N41" s="63">
        <f t="shared" si="13"/>
        <v>91.8</v>
      </c>
      <c r="O41" s="63">
        <f t="shared" si="13"/>
        <v>91.8</v>
      </c>
      <c r="P41" s="63">
        <f t="shared" si="13"/>
        <v>91.8</v>
      </c>
      <c r="Q41" s="63">
        <f t="shared" si="13"/>
        <v>91.8</v>
      </c>
      <c r="R41" s="63">
        <f t="shared" si="13"/>
        <v>91.8</v>
      </c>
      <c r="S41" s="63">
        <f t="shared" si="13"/>
        <v>91.8</v>
      </c>
      <c r="T41" s="63">
        <f t="shared" si="13"/>
        <v>91.8</v>
      </c>
      <c r="U41" s="63">
        <f t="shared" si="13"/>
        <v>91.8</v>
      </c>
      <c r="V41" s="63">
        <f t="shared" si="13"/>
        <v>91.8</v>
      </c>
      <c r="W41" s="63">
        <f t="shared" si="13"/>
        <v>91.8</v>
      </c>
      <c r="X41" s="63">
        <f t="shared" si="13"/>
        <v>91.8</v>
      </c>
      <c r="Y41" s="63">
        <f t="shared" si="13"/>
        <v>91.8</v>
      </c>
      <c r="Z41" s="63">
        <f t="shared" si="13"/>
        <v>91.8</v>
      </c>
      <c r="AA41" s="63">
        <f t="shared" si="13"/>
        <v>91.8</v>
      </c>
      <c r="AB41" s="67">
        <f t="shared" si="13"/>
        <v>91.8</v>
      </c>
    </row>
    <row r="42" spans="1:29" x14ac:dyDescent="0.25">
      <c r="B42" s="66" t="s">
        <v>110</v>
      </c>
      <c r="C42" s="73" t="s">
        <v>0</v>
      </c>
      <c r="D42" s="113">
        <f>'C - O&amp;M'!D24/12</f>
        <v>753.33333333333337</v>
      </c>
      <c r="E42" s="108">
        <f>'C - O&amp;M'!E24/12</f>
        <v>800.83333333333337</v>
      </c>
      <c r="F42" s="108">
        <f>'C - O&amp;M'!F24/12</f>
        <v>851.25</v>
      </c>
      <c r="G42" s="108">
        <f>'C - O&amp;M'!G24/12</f>
        <v>904.83252655337674</v>
      </c>
      <c r="H42" s="108">
        <f>'C - O&amp;M'!H24/12</f>
        <v>961.78784271244319</v>
      </c>
      <c r="I42" s="108">
        <f>'C - O&amp;M'!I24/12</f>
        <v>1022.3282510776172</v>
      </c>
      <c r="J42" s="108">
        <f>'C - O&amp;M'!J24/12</f>
        <v>1086.6794177849695</v>
      </c>
      <c r="K42" s="108">
        <f>'C - O&amp;M'!K24/12</f>
        <v>1155.0812136833204</v>
      </c>
      <c r="L42" s="108">
        <f>'C - O&amp;M'!L24/12</f>
        <v>1227.7886084598176</v>
      </c>
      <c r="M42" s="108">
        <f>'C - O&amp;M'!M24/12</f>
        <v>1305.072621046874</v>
      </c>
      <c r="N42" s="108">
        <f>'C - O&amp;M'!N24/12</f>
        <v>1387.2213298531342</v>
      </c>
      <c r="O42" s="108">
        <f>'C - O&amp;M'!O24/12</f>
        <v>1474.5409465841369</v>
      </c>
      <c r="P42" s="108">
        <f>'C - O&amp;M'!P24/12</f>
        <v>1567.3569576553684</v>
      </c>
      <c r="Q42" s="108">
        <f>'C - O&amp;M'!Q24/12</f>
        <v>1666.0153374523595</v>
      </c>
      <c r="R42" s="108">
        <f>'C - O&amp;M'!R24/12</f>
        <v>1770.8838379602878</v>
      </c>
      <c r="S42" s="108">
        <f>'C - O&amp;M'!S24/12</f>
        <v>1882.3533595702177</v>
      </c>
      <c r="T42" s="108">
        <f>'C - O&amp;M'!T24/12</f>
        <v>2000.839408171697</v>
      </c>
      <c r="U42" s="108">
        <f>'C - O&amp;M'!U24/12</f>
        <v>2126.7836439630655</v>
      </c>
      <c r="V42" s="108">
        <f>'C - O&amp;M'!V24/12</f>
        <v>2260.6555277527141</v>
      </c>
      <c r="W42" s="108">
        <f>'C - O&amp;M'!W24/12</f>
        <v>2402.9540708879244</v>
      </c>
      <c r="X42" s="108">
        <f>'C - O&amp;M'!X24/12</f>
        <v>2554.2096953342057</v>
      </c>
      <c r="Y42" s="108">
        <f>'C - O&amp;M'!Y24/12</f>
        <v>2714.9862108386255</v>
      </c>
      <c r="Z42" s="108">
        <f>'C - O&amp;M'!Z24/12</f>
        <v>2885.8829165470688</v>
      </c>
      <c r="AA42" s="108">
        <f>'C - O&amp;M'!AA24/12</f>
        <v>3067.5368349092655</v>
      </c>
      <c r="AB42" s="19">
        <f>'C - O&amp;M'!AB24/12</f>
        <v>3260.6250861985304</v>
      </c>
    </row>
    <row r="43" spans="1:29" x14ac:dyDescent="0.25">
      <c r="A43" t="s">
        <v>111</v>
      </c>
      <c r="B43" s="66" t="s">
        <v>112</v>
      </c>
      <c r="C43" s="73" t="s">
        <v>0</v>
      </c>
      <c r="D43" s="113">
        <f>20%*'C - O&amp;M'!D24</f>
        <v>1808</v>
      </c>
      <c r="E43" s="108">
        <f>20%*'C - O&amp;M'!E24</f>
        <v>1922</v>
      </c>
      <c r="F43" s="108">
        <f>20%*'C - O&amp;M'!F24</f>
        <v>2043</v>
      </c>
      <c r="G43" s="108">
        <f>20%*'C - O&amp;M'!G24</f>
        <v>2171.5980637281041</v>
      </c>
      <c r="H43" s="108">
        <f>20%*'C - O&amp;M'!H24</f>
        <v>2308.2908225098636</v>
      </c>
      <c r="I43" s="108">
        <f>20%*'C - O&amp;M'!I24</f>
        <v>2453.5878025862817</v>
      </c>
      <c r="J43" s="108">
        <f>20%*'C - O&amp;M'!J24</f>
        <v>2608.0306026839271</v>
      </c>
      <c r="K43" s="108">
        <f>20%*'C - O&amp;M'!K24</f>
        <v>2772.1949128399692</v>
      </c>
      <c r="L43" s="108">
        <f>20%*'C - O&amp;M'!L24</f>
        <v>2946.6926603035627</v>
      </c>
      <c r="M43" s="108">
        <f>20%*'C - O&amp;M'!M24</f>
        <v>3132.1742905124975</v>
      </c>
      <c r="N43" s="108">
        <f>20%*'C - O&amp;M'!N24</f>
        <v>3329.3311916475222</v>
      </c>
      <c r="O43" s="108">
        <f>20%*'C - O&amp;M'!O24</f>
        <v>3538.8982718019288</v>
      </c>
      <c r="P43" s="108">
        <f>20%*'C - O&amp;M'!P24</f>
        <v>3761.6566983728844</v>
      </c>
      <c r="Q43" s="108">
        <f>20%*'C - O&amp;M'!Q24</f>
        <v>3998.436809885663</v>
      </c>
      <c r="R43" s="108">
        <f>20%*'C - O&amp;M'!R24</f>
        <v>4250.1212111046907</v>
      </c>
      <c r="S43" s="108">
        <f>20%*'C - O&amp;M'!S24</f>
        <v>4517.6480629685229</v>
      </c>
      <c r="T43" s="108">
        <f>20%*'C - O&amp;M'!T24</f>
        <v>4802.0145796120732</v>
      </c>
      <c r="U43" s="108">
        <f>20%*'C - O&amp;M'!U24</f>
        <v>5104.280745511358</v>
      </c>
      <c r="V43" s="108">
        <f>20%*'C - O&amp;M'!V24</f>
        <v>5425.5732666065142</v>
      </c>
      <c r="W43" s="108">
        <f>20%*'C - O&amp;M'!W24</f>
        <v>5767.0897701310187</v>
      </c>
      <c r="X43" s="108">
        <f>20%*'C - O&amp;M'!X24</f>
        <v>6130.1032688020932</v>
      </c>
      <c r="Y43" s="108">
        <f>20%*'C - O&amp;M'!Y24</f>
        <v>6515.9669060127017</v>
      </c>
      <c r="Z43" s="108">
        <f>20%*'C - O&amp;M'!Z24</f>
        <v>6926.1189997129659</v>
      </c>
      <c r="AA43" s="108">
        <f>20%*'C - O&amp;M'!AA24</f>
        <v>7362.088403782237</v>
      </c>
      <c r="AB43" s="19">
        <f>20%*'C - O&amp;M'!AB24</f>
        <v>7825.5002068764734</v>
      </c>
    </row>
    <row r="44" spans="1:29" x14ac:dyDescent="0.25">
      <c r="B44" s="66" t="s">
        <v>113</v>
      </c>
      <c r="C44" s="73" t="s">
        <v>0</v>
      </c>
      <c r="D44" s="70">
        <f ca="1">D53</f>
        <v>12465.192407543069</v>
      </c>
      <c r="E44" s="63">
        <f t="shared" ref="E44:AB44" ca="1" si="14">E53</f>
        <v>11680.765802573904</v>
      </c>
      <c r="F44" s="63">
        <f t="shared" ca="1" si="14"/>
        <v>11008.718001463527</v>
      </c>
      <c r="G44" s="63">
        <f t="shared" ca="1" si="14"/>
        <v>10436.832465924952</v>
      </c>
      <c r="H44" s="63">
        <f t="shared" ca="1" si="14"/>
        <v>9954.3324666891986</v>
      </c>
      <c r="I44" s="63">
        <f t="shared" ca="1" si="14"/>
        <v>9551.7984462959193</v>
      </c>
      <c r="J44" s="63">
        <f t="shared" ca="1" si="14"/>
        <v>9221.0234457594015</v>
      </c>
      <c r="K44" s="63">
        <f t="shared" ca="1" si="14"/>
        <v>8954.8727701347816</v>
      </c>
      <c r="L44" s="63">
        <f t="shared" ca="1" si="14"/>
        <v>8941.3513522012981</v>
      </c>
      <c r="M44" s="63">
        <f t="shared" ca="1" si="14"/>
        <v>9105.0165690477806</v>
      </c>
      <c r="N44" s="63">
        <f t="shared" ca="1" si="14"/>
        <v>9278.983807424418</v>
      </c>
      <c r="O44" s="63">
        <f t="shared" ca="1" si="14"/>
        <v>9463.9015352809183</v>
      </c>
      <c r="P44" s="63">
        <f t="shared" ca="1" si="14"/>
        <v>7919.104402771578</v>
      </c>
      <c r="Q44" s="63">
        <f t="shared" ca="1" si="14"/>
        <v>8128.0343558457498</v>
      </c>
      <c r="R44" s="63">
        <f t="shared" ca="1" si="14"/>
        <v>8350.1155509268428</v>
      </c>
      <c r="S44" s="63">
        <f t="shared" ca="1" si="14"/>
        <v>8586.1758021400274</v>
      </c>
      <c r="T44" s="63">
        <f t="shared" ca="1" si="14"/>
        <v>8837.0950309494801</v>
      </c>
      <c r="U44" s="63">
        <f t="shared" ca="1" si="14"/>
        <v>9103.8085460913098</v>
      </c>
      <c r="V44" s="63">
        <f t="shared" ca="1" si="14"/>
        <v>9387.3105299641029</v>
      </c>
      <c r="W44" s="63">
        <f t="shared" ca="1" si="14"/>
        <v>9688.6577444727809</v>
      </c>
      <c r="X44" s="63">
        <f t="shared" ca="1" si="14"/>
        <v>10008.973470139403</v>
      </c>
      <c r="Y44" s="63">
        <f t="shared" ca="1" si="14"/>
        <v>10349.451693164021</v>
      </c>
      <c r="Z44" s="63">
        <f t="shared" ca="1" si="14"/>
        <v>10711.361556043046</v>
      </c>
      <c r="AA44" s="63">
        <f t="shared" ca="1" si="14"/>
        <v>11096.052088334869</v>
      </c>
      <c r="AB44" s="67">
        <f t="shared" ca="1" si="14"/>
        <v>11504.95723520685</v>
      </c>
    </row>
    <row r="45" spans="1:29" x14ac:dyDescent="0.25">
      <c r="B45" s="66" t="s">
        <v>114</v>
      </c>
      <c r="C45" s="73" t="s">
        <v>0</v>
      </c>
      <c r="D45" s="113">
        <f t="shared" ref="D45:AB45" ca="1" si="15">SUM(D40:D44)</f>
        <v>22339.205016492811</v>
      </c>
      <c r="E45" s="63">
        <f t="shared" ca="1" si="15"/>
        <v>21716.278411523646</v>
      </c>
      <c r="F45" s="63">
        <f t="shared" ca="1" si="15"/>
        <v>21215.647277079937</v>
      </c>
      <c r="G45" s="63">
        <f t="shared" ca="1" si="15"/>
        <v>20825.942331822844</v>
      </c>
      <c r="H45" s="63">
        <f t="shared" ca="1" si="15"/>
        <v>20537.090407527914</v>
      </c>
      <c r="I45" s="63">
        <f t="shared" ca="1" si="15"/>
        <v>20340.393775576231</v>
      </c>
      <c r="J45" s="63">
        <f t="shared" ca="1" si="15"/>
        <v>20228.412741844706</v>
      </c>
      <c r="K45" s="63">
        <f t="shared" ca="1" si="15"/>
        <v>20194.82817227448</v>
      </c>
      <c r="L45" s="63">
        <f t="shared" ca="1" si="15"/>
        <v>20428.511896581091</v>
      </c>
      <c r="M45" s="63">
        <f t="shared" ca="1" si="15"/>
        <v>20854.942756223561</v>
      </c>
      <c r="N45" s="63">
        <f t="shared" ca="1" si="15"/>
        <v>21308.215604541485</v>
      </c>
      <c r="O45" s="63">
        <f t="shared" ca="1" si="15"/>
        <v>21790.020029283394</v>
      </c>
      <c r="P45" s="63">
        <f t="shared" ca="1" si="15"/>
        <v>20560.797334416238</v>
      </c>
      <c r="Q45" s="63">
        <f t="shared" ca="1" si="15"/>
        <v>21105.165778800183</v>
      </c>
      <c r="R45" s="63">
        <f t="shared" ca="1" si="15"/>
        <v>21683.799875608231</v>
      </c>
      <c r="S45" s="63">
        <f t="shared" ca="1" si="15"/>
        <v>22298.85650029518</v>
      </c>
      <c r="T45" s="63">
        <f t="shared" ca="1" si="15"/>
        <v>22952.628294349659</v>
      </c>
      <c r="U45" s="63">
        <f t="shared" ca="1" si="15"/>
        <v>23647.552211182141</v>
      </c>
      <c r="V45" s="63">
        <f t="shared" ca="1" si="15"/>
        <v>24386.218599939741</v>
      </c>
      <c r="W45" s="63">
        <f t="shared" ca="1" si="15"/>
        <v>25171.380861108133</v>
      </c>
      <c r="X45" s="63">
        <f t="shared" ca="1" si="15"/>
        <v>26005.965709892109</v>
      </c>
      <c r="Y45" s="63">
        <f t="shared" ca="1" si="15"/>
        <v>26893.084085631755</v>
      </c>
      <c r="Z45" s="63">
        <f t="shared" ca="1" si="15"/>
        <v>27836.042747919491</v>
      </c>
      <c r="AA45" s="63">
        <f t="shared" ca="1" si="15"/>
        <v>28838.35660264278</v>
      </c>
      <c r="AB45" s="67">
        <f t="shared" ca="1" si="15"/>
        <v>29903.761803898262</v>
      </c>
    </row>
    <row r="46" spans="1:29" x14ac:dyDescent="0.25">
      <c r="A46" s="35"/>
      <c r="B46" s="66" t="s">
        <v>115</v>
      </c>
      <c r="C46" s="73" t="s">
        <v>25</v>
      </c>
      <c r="D46" s="117">
        <f>'C - Assumptions'!$E$19</f>
        <v>0.128</v>
      </c>
      <c r="E46" s="64">
        <f>'C - Assumptions'!$E$19</f>
        <v>0.128</v>
      </c>
      <c r="F46" s="64">
        <f>'C - Assumptions'!$E$19</f>
        <v>0.128</v>
      </c>
      <c r="G46" s="64">
        <f>'C - Assumptions'!$E$19</f>
        <v>0.128</v>
      </c>
      <c r="H46" s="64">
        <f>'C - Assumptions'!$E$19</f>
        <v>0.128</v>
      </c>
      <c r="I46" s="64">
        <f>'C - Assumptions'!$E$19</f>
        <v>0.128</v>
      </c>
      <c r="J46" s="64">
        <f>'C - Assumptions'!$E$19</f>
        <v>0.128</v>
      </c>
      <c r="K46" s="64">
        <f>'C - Assumptions'!$E$19</f>
        <v>0.128</v>
      </c>
      <c r="L46" s="64">
        <f>'C - Assumptions'!$E$19</f>
        <v>0.128</v>
      </c>
      <c r="M46" s="64">
        <f>'C - Assumptions'!$E$19</f>
        <v>0.128</v>
      </c>
      <c r="N46" s="64">
        <f>'C - Assumptions'!$E$19</f>
        <v>0.128</v>
      </c>
      <c r="O46" s="64">
        <f>'C - Assumptions'!$E$19</f>
        <v>0.128</v>
      </c>
      <c r="P46" s="64">
        <f>'C - Assumptions'!$E$19</f>
        <v>0.128</v>
      </c>
      <c r="Q46" s="64">
        <f>'C - Assumptions'!$E$19</f>
        <v>0.128</v>
      </c>
      <c r="R46" s="64">
        <f>'C - Assumptions'!$E$19</f>
        <v>0.128</v>
      </c>
      <c r="S46" s="64">
        <f>'C - Assumptions'!$E$19</f>
        <v>0.128</v>
      </c>
      <c r="T46" s="64">
        <f>'C - Assumptions'!$E$19</f>
        <v>0.128</v>
      </c>
      <c r="U46" s="64">
        <f>'C - Assumptions'!$E$19</f>
        <v>0.128</v>
      </c>
      <c r="V46" s="64">
        <f>'C - Assumptions'!$E$19</f>
        <v>0.128</v>
      </c>
      <c r="W46" s="64">
        <f>'C - Assumptions'!$E$19</f>
        <v>0.128</v>
      </c>
      <c r="X46" s="64">
        <f>'C - Assumptions'!$E$19</f>
        <v>0.128</v>
      </c>
      <c r="Y46" s="64">
        <f>'C - Assumptions'!$E$19</f>
        <v>0.128</v>
      </c>
      <c r="Z46" s="64">
        <f>'C - Assumptions'!$E$19</f>
        <v>0.128</v>
      </c>
      <c r="AA46" s="64">
        <f>'C - Assumptions'!$E$19</f>
        <v>0.128</v>
      </c>
      <c r="AB46" s="68">
        <f>'C - Assumptions'!$E$19</f>
        <v>0.128</v>
      </c>
    </row>
    <row r="47" spans="1:29" s="2" customFormat="1" ht="15.75" thickBot="1" x14ac:dyDescent="0.3">
      <c r="A47" s="116"/>
      <c r="B47" s="84" t="s">
        <v>47</v>
      </c>
      <c r="C47" s="85" t="s">
        <v>0</v>
      </c>
      <c r="D47" s="86">
        <f ca="1">D46*D45</f>
        <v>2859.41824211108</v>
      </c>
      <c r="E47" s="87">
        <f t="shared" ref="E47:AB47" ca="1" si="16">E46*E45</f>
        <v>2779.6836366750267</v>
      </c>
      <c r="F47" s="87">
        <f t="shared" ca="1" si="16"/>
        <v>2715.6028514662321</v>
      </c>
      <c r="G47" s="87">
        <f t="shared" ca="1" si="16"/>
        <v>2665.7206184733241</v>
      </c>
      <c r="H47" s="87">
        <f t="shared" ca="1" si="16"/>
        <v>2628.7475721635728</v>
      </c>
      <c r="I47" s="87">
        <f t="shared" ca="1" si="16"/>
        <v>2603.5704032737576</v>
      </c>
      <c r="J47" s="87">
        <f t="shared" ca="1" si="16"/>
        <v>2589.2368309561225</v>
      </c>
      <c r="K47" s="87">
        <f t="shared" ca="1" si="16"/>
        <v>2584.9380060511335</v>
      </c>
      <c r="L47" s="87">
        <f t="shared" ca="1" si="16"/>
        <v>2614.8495227623798</v>
      </c>
      <c r="M47" s="87">
        <f t="shared" ca="1" si="16"/>
        <v>2669.4326727966159</v>
      </c>
      <c r="N47" s="87">
        <f t="shared" ca="1" si="16"/>
        <v>2727.45159738131</v>
      </c>
      <c r="O47" s="87">
        <f t="shared" ca="1" si="16"/>
        <v>2789.1225637482744</v>
      </c>
      <c r="P47" s="87">
        <f t="shared" ca="1" si="16"/>
        <v>2631.7820588052787</v>
      </c>
      <c r="Q47" s="87">
        <f t="shared" ca="1" si="16"/>
        <v>2701.4612196864236</v>
      </c>
      <c r="R47" s="87">
        <f t="shared" ca="1" si="16"/>
        <v>2775.5263840778534</v>
      </c>
      <c r="S47" s="87">
        <f t="shared" ca="1" si="16"/>
        <v>2854.2536320377831</v>
      </c>
      <c r="T47" s="87">
        <f t="shared" ca="1" si="16"/>
        <v>2937.9364216767563</v>
      </c>
      <c r="U47" s="87">
        <f t="shared" ca="1" si="16"/>
        <v>3026.8866830313141</v>
      </c>
      <c r="V47" s="87">
        <f t="shared" ca="1" si="16"/>
        <v>3121.435980792287</v>
      </c>
      <c r="W47" s="87">
        <f t="shared" ca="1" si="16"/>
        <v>3221.9367502218411</v>
      </c>
      <c r="X47" s="87">
        <f t="shared" ca="1" si="16"/>
        <v>3328.76361086619</v>
      </c>
      <c r="Y47" s="87">
        <f t="shared" ca="1" si="16"/>
        <v>3442.3147629608648</v>
      </c>
      <c r="Z47" s="87">
        <f t="shared" ca="1" si="16"/>
        <v>3563.013471733695</v>
      </c>
      <c r="AA47" s="87">
        <f t="shared" ca="1" si="16"/>
        <v>3691.3096451382758</v>
      </c>
      <c r="AB47" s="88">
        <f t="shared" ca="1" si="16"/>
        <v>3827.6815108989776</v>
      </c>
    </row>
    <row r="48" spans="1:29" x14ac:dyDescent="0.25">
      <c r="A48" s="2"/>
      <c r="B48" s="2"/>
      <c r="C48" s="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</row>
    <row r="49" spans="1:28" ht="15.75" thickBot="1" x14ac:dyDescent="0.3">
      <c r="A49" s="2"/>
      <c r="B49" s="2" t="s">
        <v>312</v>
      </c>
      <c r="C49" s="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28" ht="15.75" thickBot="1" x14ac:dyDescent="0.3">
      <c r="A50" s="2"/>
      <c r="B50" s="122"/>
      <c r="C50" s="123" t="s">
        <v>4</v>
      </c>
      <c r="D50" s="124">
        <v>1</v>
      </c>
      <c r="E50" s="125">
        <v>2</v>
      </c>
      <c r="F50" s="125">
        <v>3</v>
      </c>
      <c r="G50" s="125">
        <v>4</v>
      </c>
      <c r="H50" s="125">
        <v>5</v>
      </c>
      <c r="I50" s="125">
        <v>6</v>
      </c>
      <c r="J50" s="125">
        <v>7</v>
      </c>
      <c r="K50" s="125">
        <v>8</v>
      </c>
      <c r="L50" s="125">
        <v>9</v>
      </c>
      <c r="M50" s="125">
        <v>10</v>
      </c>
      <c r="N50" s="125">
        <v>11</v>
      </c>
      <c r="O50" s="125">
        <v>12</v>
      </c>
      <c r="P50" s="125">
        <v>13</v>
      </c>
      <c r="Q50" s="125">
        <v>14</v>
      </c>
      <c r="R50" s="125">
        <v>15</v>
      </c>
      <c r="S50" s="125">
        <v>16</v>
      </c>
      <c r="T50" s="125">
        <v>17</v>
      </c>
      <c r="U50" s="125">
        <v>18</v>
      </c>
      <c r="V50" s="125">
        <v>19</v>
      </c>
      <c r="W50" s="125">
        <v>20</v>
      </c>
      <c r="X50" s="125">
        <v>21</v>
      </c>
      <c r="Y50" s="125">
        <v>22</v>
      </c>
      <c r="Z50" s="125">
        <v>23</v>
      </c>
      <c r="AA50" s="125">
        <v>24</v>
      </c>
      <c r="AB50" s="126">
        <v>25</v>
      </c>
    </row>
    <row r="51" spans="1:28" x14ac:dyDescent="0.25">
      <c r="A51" s="2"/>
      <c r="B51" s="74" t="s">
        <v>116</v>
      </c>
      <c r="C51" s="75" t="s">
        <v>0</v>
      </c>
      <c r="D51" s="76">
        <f>'C - Generation'!E17</f>
        <v>145.04166666666666</v>
      </c>
      <c r="E51" s="77">
        <f>'C - Generation'!F17</f>
        <v>145.04166666666666</v>
      </c>
      <c r="F51" s="77">
        <f>'C - Generation'!G17</f>
        <v>145.04166666666666</v>
      </c>
      <c r="G51" s="77">
        <f>'C - Generation'!H17</f>
        <v>145.04166666666666</v>
      </c>
      <c r="H51" s="77">
        <f>'C - Generation'!I17</f>
        <v>145.04166666666666</v>
      </c>
      <c r="I51" s="77">
        <f>'C - Generation'!J17</f>
        <v>145.04166666666666</v>
      </c>
      <c r="J51" s="77">
        <f>'C - Generation'!K17</f>
        <v>145.04166666666666</v>
      </c>
      <c r="K51" s="77">
        <f>'C - Generation'!L17</f>
        <v>145.04166666666666</v>
      </c>
      <c r="L51" s="77">
        <f>'C - Generation'!M17</f>
        <v>145.04166666666666</v>
      </c>
      <c r="M51" s="77">
        <f>'C - Generation'!N17</f>
        <v>145.04166666666666</v>
      </c>
      <c r="N51" s="77">
        <f>'C - Generation'!O17</f>
        <v>145.04166666666666</v>
      </c>
      <c r="O51" s="77">
        <f>'C - Generation'!P17</f>
        <v>145.04166666666666</v>
      </c>
      <c r="P51" s="77">
        <f>'C - Generation'!Q17</f>
        <v>145.04166666666666</v>
      </c>
      <c r="Q51" s="77">
        <f>'C - Generation'!R17</f>
        <v>145.04166666666666</v>
      </c>
      <c r="R51" s="77">
        <f>'C - Generation'!S17</f>
        <v>145.04166666666666</v>
      </c>
      <c r="S51" s="77">
        <f>'C - Generation'!T17</f>
        <v>145.04166666666666</v>
      </c>
      <c r="T51" s="77">
        <f>'C - Generation'!U17</f>
        <v>145.04166666666666</v>
      </c>
      <c r="U51" s="77">
        <f>'C - Generation'!V17</f>
        <v>145.04166666666666</v>
      </c>
      <c r="V51" s="77">
        <f>'C - Generation'!W17</f>
        <v>145.04166666666666</v>
      </c>
      <c r="W51" s="77">
        <f>'C - Generation'!X17</f>
        <v>145.04166666666666</v>
      </c>
      <c r="X51" s="77">
        <f>'C - Generation'!Y17</f>
        <v>145.04166666666666</v>
      </c>
      <c r="Y51" s="77">
        <f>'C - Generation'!Z17</f>
        <v>145.04166666666666</v>
      </c>
      <c r="Z51" s="77">
        <f>'C - Generation'!AA17</f>
        <v>145.04166666666666</v>
      </c>
      <c r="AA51" s="77">
        <f>'C - Generation'!AB17</f>
        <v>145.04166666666666</v>
      </c>
      <c r="AB51" s="78">
        <f>'C - Generation'!AC17</f>
        <v>145.04166666666666</v>
      </c>
    </row>
    <row r="52" spans="1:28" x14ac:dyDescent="0.25">
      <c r="A52" s="2"/>
      <c r="B52" s="66" t="s">
        <v>117</v>
      </c>
      <c r="C52" s="73" t="s">
        <v>0</v>
      </c>
      <c r="D52" s="70">
        <f ca="1">'C_DI - Pre-GST LCOE'!E9*2/12</f>
        <v>12320.150740876403</v>
      </c>
      <c r="E52" s="70">
        <f ca="1">'C_DI - Pre-GST LCOE'!F9*2/12</f>
        <v>11535.724135907238</v>
      </c>
      <c r="F52" s="70">
        <f ca="1">'C_DI - Pre-GST LCOE'!G9*2/12</f>
        <v>10863.676334796861</v>
      </c>
      <c r="G52" s="70">
        <f ca="1">'C_DI - Pre-GST LCOE'!H9*2/12</f>
        <v>10291.790799258286</v>
      </c>
      <c r="H52" s="70">
        <f ca="1">'C_DI - Pre-GST LCOE'!I9*2/12</f>
        <v>9809.2908000225325</v>
      </c>
      <c r="I52" s="70">
        <f ca="1">'C_DI - Pre-GST LCOE'!J9*2/12</f>
        <v>9406.7567796292533</v>
      </c>
      <c r="J52" s="70">
        <f ca="1">'C_DI - Pre-GST LCOE'!K9*2/12</f>
        <v>9075.9817790927355</v>
      </c>
      <c r="K52" s="70">
        <f ca="1">'C_DI - Pre-GST LCOE'!L9*2/12</f>
        <v>8809.8311034681155</v>
      </c>
      <c r="L52" s="70">
        <f ca="1">'C_DI - Pre-GST LCOE'!M9*2/12</f>
        <v>8796.3096855346321</v>
      </c>
      <c r="M52" s="70">
        <f ca="1">'C_DI - Pre-GST LCOE'!N9*2/12</f>
        <v>8959.9749023811146</v>
      </c>
      <c r="N52" s="70">
        <f ca="1">'C_DI - Pre-GST LCOE'!O9*2/12</f>
        <v>9133.942140757752</v>
      </c>
      <c r="O52" s="70">
        <f ca="1">'C_DI - Pre-GST LCOE'!P9*2/12</f>
        <v>9318.8598686142523</v>
      </c>
      <c r="P52" s="70">
        <f ca="1">'C_DI - Pre-GST LCOE'!Q9*2/12</f>
        <v>7774.062736104911</v>
      </c>
      <c r="Q52" s="70">
        <f ca="1">'C_DI - Pre-GST LCOE'!R9*2/12</f>
        <v>7982.9926891790828</v>
      </c>
      <c r="R52" s="70">
        <f ca="1">'C_DI - Pre-GST LCOE'!S9*2/12</f>
        <v>8205.0738842601768</v>
      </c>
      <c r="S52" s="70">
        <f ca="1">'C_DI - Pre-GST LCOE'!T9*2/12</f>
        <v>8441.1341354733613</v>
      </c>
      <c r="T52" s="70">
        <f ca="1">'C_DI - Pre-GST LCOE'!U9*2/12</f>
        <v>8692.0533642828141</v>
      </c>
      <c r="U52" s="70">
        <f ca="1">'C_DI - Pre-GST LCOE'!V9*2/12</f>
        <v>8958.7668794246438</v>
      </c>
      <c r="V52" s="70">
        <f ca="1">'C_DI - Pre-GST LCOE'!W9*2/12</f>
        <v>9242.2688632974368</v>
      </c>
      <c r="W52" s="70">
        <f ca="1">'C_DI - Pre-GST LCOE'!X9*2/12</f>
        <v>9543.6160778061148</v>
      </c>
      <c r="X52" s="70">
        <f ca="1">'C_DI - Pre-GST LCOE'!Y9*2/12</f>
        <v>9863.9318034727366</v>
      </c>
      <c r="Y52" s="70">
        <f ca="1">'C_DI - Pre-GST LCOE'!Z9*2/12</f>
        <v>10204.410026497355</v>
      </c>
      <c r="Z52" s="70">
        <f ca="1">'C_DI - Pre-GST LCOE'!AA9*2/12</f>
        <v>10566.31988937638</v>
      </c>
      <c r="AA52" s="70">
        <f ca="1">'C_DI - Pre-GST LCOE'!AB9*2/12</f>
        <v>10951.010421668203</v>
      </c>
      <c r="AB52" s="70">
        <f ca="1">'C_DI - Pre-GST LCOE'!AC9*2/12</f>
        <v>11359.915568540184</v>
      </c>
    </row>
    <row r="53" spans="1:28" s="2" customFormat="1" ht="15.75" thickBot="1" x14ac:dyDescent="0.3">
      <c r="B53" s="84" t="s">
        <v>2</v>
      </c>
      <c r="C53" s="85" t="s">
        <v>0</v>
      </c>
      <c r="D53" s="86">
        <f ca="1">SUM(D51:D52)</f>
        <v>12465.192407543069</v>
      </c>
      <c r="E53" s="87">
        <f t="shared" ref="E53:AB53" ca="1" si="17">SUM(E51:E52)</f>
        <v>11680.765802573904</v>
      </c>
      <c r="F53" s="87">
        <f t="shared" ca="1" si="17"/>
        <v>11008.718001463527</v>
      </c>
      <c r="G53" s="87">
        <f t="shared" ca="1" si="17"/>
        <v>10436.832465924952</v>
      </c>
      <c r="H53" s="87">
        <f t="shared" ca="1" si="17"/>
        <v>9954.3324666891986</v>
      </c>
      <c r="I53" s="87">
        <f t="shared" ca="1" si="17"/>
        <v>9551.7984462959193</v>
      </c>
      <c r="J53" s="87">
        <f t="shared" ca="1" si="17"/>
        <v>9221.0234457594015</v>
      </c>
      <c r="K53" s="87">
        <f t="shared" ca="1" si="17"/>
        <v>8954.8727701347816</v>
      </c>
      <c r="L53" s="87">
        <f t="shared" ca="1" si="17"/>
        <v>8941.3513522012981</v>
      </c>
      <c r="M53" s="87">
        <f t="shared" ca="1" si="17"/>
        <v>9105.0165690477806</v>
      </c>
      <c r="N53" s="87">
        <f t="shared" ca="1" si="17"/>
        <v>9278.983807424418</v>
      </c>
      <c r="O53" s="87">
        <f t="shared" ca="1" si="17"/>
        <v>9463.9015352809183</v>
      </c>
      <c r="P53" s="87">
        <f t="shared" ca="1" si="17"/>
        <v>7919.104402771578</v>
      </c>
      <c r="Q53" s="87">
        <f t="shared" ca="1" si="17"/>
        <v>8128.0343558457498</v>
      </c>
      <c r="R53" s="87">
        <f t="shared" ca="1" si="17"/>
        <v>8350.1155509268428</v>
      </c>
      <c r="S53" s="87">
        <f t="shared" ca="1" si="17"/>
        <v>8586.1758021400274</v>
      </c>
      <c r="T53" s="87">
        <f t="shared" ca="1" si="17"/>
        <v>8837.0950309494801</v>
      </c>
      <c r="U53" s="87">
        <f t="shared" ca="1" si="17"/>
        <v>9103.8085460913098</v>
      </c>
      <c r="V53" s="87">
        <f t="shared" ca="1" si="17"/>
        <v>9387.3105299641029</v>
      </c>
      <c r="W53" s="87">
        <f t="shared" ca="1" si="17"/>
        <v>9688.6577444727809</v>
      </c>
      <c r="X53" s="87">
        <f t="shared" ca="1" si="17"/>
        <v>10008.973470139403</v>
      </c>
      <c r="Y53" s="87">
        <f t="shared" ca="1" si="17"/>
        <v>10349.451693164021</v>
      </c>
      <c r="Z53" s="87">
        <f t="shared" ca="1" si="17"/>
        <v>10711.361556043046</v>
      </c>
      <c r="AA53" s="87">
        <f t="shared" ca="1" si="17"/>
        <v>11096.052088334869</v>
      </c>
      <c r="AB53" s="88">
        <f t="shared" ca="1" si="17"/>
        <v>11504.95723520685</v>
      </c>
    </row>
    <row r="54" spans="1:28" x14ac:dyDescent="0.25">
      <c r="A54" s="2"/>
      <c r="B54" s="2"/>
      <c r="C54" s="2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x14ac:dyDescent="0.25">
      <c r="A55" s="307" t="s">
        <v>221</v>
      </c>
      <c r="B55" s="35" t="s">
        <v>52</v>
      </c>
    </row>
    <row r="56" spans="1:28" ht="15.75" thickBot="1" x14ac:dyDescent="0.3"/>
    <row r="57" spans="1:28" ht="15.75" thickBot="1" x14ac:dyDescent="0.3">
      <c r="A57" s="55"/>
      <c r="B57" s="114"/>
      <c r="C57" s="83" t="s">
        <v>4</v>
      </c>
      <c r="D57" s="81">
        <v>1</v>
      </c>
      <c r="E57" s="82">
        <v>2</v>
      </c>
      <c r="F57" s="82">
        <v>3</v>
      </c>
      <c r="G57" s="82">
        <v>4</v>
      </c>
      <c r="H57" s="82">
        <v>5</v>
      </c>
      <c r="I57" s="82">
        <v>6</v>
      </c>
      <c r="J57" s="82">
        <v>7</v>
      </c>
      <c r="K57" s="82">
        <v>8</v>
      </c>
      <c r="L57" s="82">
        <v>9</v>
      </c>
      <c r="M57" s="82">
        <v>10</v>
      </c>
      <c r="N57" s="82">
        <v>11</v>
      </c>
      <c r="O57" s="82">
        <v>12</v>
      </c>
      <c r="P57" s="82">
        <v>13</v>
      </c>
      <c r="Q57" s="82">
        <v>14</v>
      </c>
      <c r="R57" s="82">
        <v>15</v>
      </c>
      <c r="S57" s="82">
        <v>16</v>
      </c>
      <c r="T57" s="82">
        <v>17</v>
      </c>
      <c r="U57" s="82">
        <v>18</v>
      </c>
      <c r="V57" s="82">
        <v>19</v>
      </c>
      <c r="W57" s="82">
        <v>20</v>
      </c>
      <c r="X57" s="82">
        <v>21</v>
      </c>
      <c r="Y57" s="82">
        <v>22</v>
      </c>
      <c r="Z57" s="82">
        <v>23</v>
      </c>
      <c r="AA57" s="82">
        <v>24</v>
      </c>
      <c r="AB57" s="83">
        <v>25</v>
      </c>
    </row>
    <row r="58" spans="1:28" x14ac:dyDescent="0.25">
      <c r="B58" s="74" t="s">
        <v>151</v>
      </c>
      <c r="C58" s="75" t="s">
        <v>0</v>
      </c>
      <c r="D58" s="76">
        <f>'C - Assumptions'!F3*'C - Assumptions'!F4*30*24*0.61587*'C_DI - VC'!N32/100</f>
        <v>7110.3025140044019</v>
      </c>
      <c r="E58" s="77">
        <f>D58</f>
        <v>7110.3025140044019</v>
      </c>
      <c r="F58" s="77">
        <f t="shared" ref="F58:AB58" si="18">E58</f>
        <v>7110.3025140044019</v>
      </c>
      <c r="G58" s="77">
        <f t="shared" si="18"/>
        <v>7110.3025140044019</v>
      </c>
      <c r="H58" s="77">
        <f t="shared" si="18"/>
        <v>7110.3025140044019</v>
      </c>
      <c r="I58" s="77">
        <f t="shared" si="18"/>
        <v>7110.3025140044019</v>
      </c>
      <c r="J58" s="77">
        <f t="shared" si="18"/>
        <v>7110.3025140044019</v>
      </c>
      <c r="K58" s="77">
        <f t="shared" si="18"/>
        <v>7110.3025140044019</v>
      </c>
      <c r="L58" s="77">
        <f t="shared" si="18"/>
        <v>7110.3025140044019</v>
      </c>
      <c r="M58" s="77">
        <f t="shared" si="18"/>
        <v>7110.3025140044019</v>
      </c>
      <c r="N58" s="77">
        <f t="shared" si="18"/>
        <v>7110.3025140044019</v>
      </c>
      <c r="O58" s="77">
        <f t="shared" si="18"/>
        <v>7110.3025140044019</v>
      </c>
      <c r="P58" s="77">
        <f t="shared" si="18"/>
        <v>7110.3025140044019</v>
      </c>
      <c r="Q58" s="77">
        <f t="shared" si="18"/>
        <v>7110.3025140044019</v>
      </c>
      <c r="R58" s="77">
        <f t="shared" si="18"/>
        <v>7110.3025140044019</v>
      </c>
      <c r="S58" s="77">
        <f t="shared" si="18"/>
        <v>7110.3025140044019</v>
      </c>
      <c r="T58" s="77">
        <f t="shared" si="18"/>
        <v>7110.3025140044019</v>
      </c>
      <c r="U58" s="77">
        <f t="shared" si="18"/>
        <v>7110.3025140044019</v>
      </c>
      <c r="V58" s="77">
        <f t="shared" si="18"/>
        <v>7110.3025140044019</v>
      </c>
      <c r="W58" s="77">
        <f t="shared" si="18"/>
        <v>7110.3025140044019</v>
      </c>
      <c r="X58" s="77">
        <f t="shared" si="18"/>
        <v>7110.3025140044019</v>
      </c>
      <c r="Y58" s="77">
        <f t="shared" si="18"/>
        <v>7110.3025140044019</v>
      </c>
      <c r="Z58" s="77">
        <f t="shared" si="18"/>
        <v>7110.3025140044019</v>
      </c>
      <c r="AA58" s="77">
        <f t="shared" si="18"/>
        <v>7110.3025140044019</v>
      </c>
      <c r="AB58" s="78">
        <f t="shared" si="18"/>
        <v>7110.3025140044019</v>
      </c>
    </row>
    <row r="59" spans="1:28" x14ac:dyDescent="0.25">
      <c r="B59" s="66" t="s">
        <v>109</v>
      </c>
      <c r="C59" s="73" t="s">
        <v>0</v>
      </c>
      <c r="D59" s="70">
        <f>'C - Assumptions'!F27*'C - Assumptions'!F3*60*24*1000*'C - Assumptions'!F4*'C_DI - VC'!M34/10^11</f>
        <v>91.8</v>
      </c>
      <c r="E59" s="63">
        <f>D59</f>
        <v>91.8</v>
      </c>
      <c r="F59" s="63">
        <f t="shared" ref="F59:AB59" si="19">E59</f>
        <v>91.8</v>
      </c>
      <c r="G59" s="63">
        <f t="shared" si="19"/>
        <v>91.8</v>
      </c>
      <c r="H59" s="63">
        <f t="shared" si="19"/>
        <v>91.8</v>
      </c>
      <c r="I59" s="63">
        <f t="shared" si="19"/>
        <v>91.8</v>
      </c>
      <c r="J59" s="63">
        <f t="shared" si="19"/>
        <v>91.8</v>
      </c>
      <c r="K59" s="63">
        <f t="shared" si="19"/>
        <v>91.8</v>
      </c>
      <c r="L59" s="63">
        <f t="shared" si="19"/>
        <v>91.8</v>
      </c>
      <c r="M59" s="63">
        <f t="shared" si="19"/>
        <v>91.8</v>
      </c>
      <c r="N59" s="63">
        <f t="shared" si="19"/>
        <v>91.8</v>
      </c>
      <c r="O59" s="63">
        <f t="shared" si="19"/>
        <v>91.8</v>
      </c>
      <c r="P59" s="63">
        <f t="shared" si="19"/>
        <v>91.8</v>
      </c>
      <c r="Q59" s="63">
        <f t="shared" si="19"/>
        <v>91.8</v>
      </c>
      <c r="R59" s="63">
        <f t="shared" si="19"/>
        <v>91.8</v>
      </c>
      <c r="S59" s="63">
        <f t="shared" si="19"/>
        <v>91.8</v>
      </c>
      <c r="T59" s="63">
        <f t="shared" si="19"/>
        <v>91.8</v>
      </c>
      <c r="U59" s="63">
        <f t="shared" si="19"/>
        <v>91.8</v>
      </c>
      <c r="V59" s="63">
        <f t="shared" si="19"/>
        <v>91.8</v>
      </c>
      <c r="W59" s="63">
        <f t="shared" si="19"/>
        <v>91.8</v>
      </c>
      <c r="X59" s="63">
        <f t="shared" si="19"/>
        <v>91.8</v>
      </c>
      <c r="Y59" s="63">
        <f t="shared" si="19"/>
        <v>91.8</v>
      </c>
      <c r="Z59" s="63">
        <f t="shared" si="19"/>
        <v>91.8</v>
      </c>
      <c r="AA59" s="63">
        <f t="shared" si="19"/>
        <v>91.8</v>
      </c>
      <c r="AB59" s="67">
        <f t="shared" si="19"/>
        <v>91.8</v>
      </c>
    </row>
    <row r="60" spans="1:28" x14ac:dyDescent="0.25">
      <c r="B60" s="66" t="s">
        <v>110</v>
      </c>
      <c r="C60" s="73" t="s">
        <v>0</v>
      </c>
      <c r="D60" s="113">
        <f>'C - O&amp;M'!D24/12</f>
        <v>753.33333333333337</v>
      </c>
      <c r="E60" s="108">
        <f>'C - O&amp;M'!E24/12</f>
        <v>800.83333333333337</v>
      </c>
      <c r="F60" s="108">
        <f>'C - O&amp;M'!F24/12</f>
        <v>851.25</v>
      </c>
      <c r="G60" s="108">
        <f>'C - O&amp;M'!G24/12</f>
        <v>904.83252655337674</v>
      </c>
      <c r="H60" s="108">
        <f>'C - O&amp;M'!H24/12</f>
        <v>961.78784271244319</v>
      </c>
      <c r="I60" s="108">
        <f>'C - O&amp;M'!I24/12</f>
        <v>1022.3282510776172</v>
      </c>
      <c r="J60" s="108">
        <f>'C - O&amp;M'!J24/12</f>
        <v>1086.6794177849695</v>
      </c>
      <c r="K60" s="108">
        <f>'C - O&amp;M'!K24/12</f>
        <v>1155.0812136833204</v>
      </c>
      <c r="L60" s="108">
        <f>'C - O&amp;M'!L24/12</f>
        <v>1227.7886084598176</v>
      </c>
      <c r="M60" s="108">
        <f>'C - O&amp;M'!M24/12</f>
        <v>1305.072621046874</v>
      </c>
      <c r="N60" s="108">
        <f>'C - O&amp;M'!N24/12</f>
        <v>1387.2213298531342</v>
      </c>
      <c r="O60" s="108">
        <f>'C - O&amp;M'!O24/12</f>
        <v>1474.5409465841369</v>
      </c>
      <c r="P60" s="108">
        <f>'C - O&amp;M'!P24/12</f>
        <v>1567.3569576553684</v>
      </c>
      <c r="Q60" s="108">
        <f>'C - O&amp;M'!Q24/12</f>
        <v>1666.0153374523595</v>
      </c>
      <c r="R60" s="108">
        <f>'C - O&amp;M'!R24/12</f>
        <v>1770.8838379602878</v>
      </c>
      <c r="S60" s="108">
        <f>'C - O&amp;M'!S24/12</f>
        <v>1882.3533595702177</v>
      </c>
      <c r="T60" s="108">
        <f>'C - O&amp;M'!T24/12</f>
        <v>2000.839408171697</v>
      </c>
      <c r="U60" s="108">
        <f>'C - O&amp;M'!U24/12</f>
        <v>2126.7836439630655</v>
      </c>
      <c r="V60" s="108">
        <f>'C - O&amp;M'!V24/12</f>
        <v>2260.6555277527141</v>
      </c>
      <c r="W60" s="108">
        <f>'C - O&amp;M'!W24/12</f>
        <v>2402.9540708879244</v>
      </c>
      <c r="X60" s="108">
        <f>'C - O&amp;M'!X24/12</f>
        <v>2554.2096953342057</v>
      </c>
      <c r="Y60" s="108">
        <f>'C - O&amp;M'!Y24/12</f>
        <v>2714.9862108386255</v>
      </c>
      <c r="Z60" s="108">
        <f>'C - O&amp;M'!Z24/12</f>
        <v>2885.8829165470688</v>
      </c>
      <c r="AA60" s="108">
        <f>'C - O&amp;M'!AA24/12</f>
        <v>3067.5368349092655</v>
      </c>
      <c r="AB60" s="19">
        <f>'C - O&amp;M'!AB24/12</f>
        <v>3260.6250861985304</v>
      </c>
    </row>
    <row r="61" spans="1:28" x14ac:dyDescent="0.25">
      <c r="A61" t="s">
        <v>181</v>
      </c>
      <c r="B61" s="66" t="s">
        <v>112</v>
      </c>
      <c r="C61" s="73" t="s">
        <v>0</v>
      </c>
      <c r="D61" s="113">
        <f>'C - O&amp;M'!D24*'C - Assumptions'!$F$18</f>
        <v>1808</v>
      </c>
      <c r="E61" s="108">
        <f>'C - O&amp;M'!E24*'C - Assumptions'!$F$18</f>
        <v>1922</v>
      </c>
      <c r="F61" s="108">
        <f>'C - O&amp;M'!F24*'C - Assumptions'!$F$18</f>
        <v>2043</v>
      </c>
      <c r="G61" s="108">
        <f>'C - O&amp;M'!G24*'C - Assumptions'!$F$18</f>
        <v>2171.5980637281041</v>
      </c>
      <c r="H61" s="108">
        <f>'C - O&amp;M'!H24*'C - Assumptions'!$F$18</f>
        <v>2308.2908225098636</v>
      </c>
      <c r="I61" s="108">
        <f>'C - O&amp;M'!I24*'C - Assumptions'!$F$18</f>
        <v>2453.5878025862817</v>
      </c>
      <c r="J61" s="108">
        <f>'C - O&amp;M'!J24*'C - Assumptions'!$F$18</f>
        <v>2608.0306026839271</v>
      </c>
      <c r="K61" s="108">
        <f>'C - O&amp;M'!K24*'C - Assumptions'!$F$18</f>
        <v>2772.1949128399692</v>
      </c>
      <c r="L61" s="108">
        <f>'C - O&amp;M'!L24*'C - Assumptions'!$F$18</f>
        <v>2946.6926603035627</v>
      </c>
      <c r="M61" s="108">
        <f>'C - O&amp;M'!M24*'C - Assumptions'!$F$18</f>
        <v>3132.1742905124975</v>
      </c>
      <c r="N61" s="108">
        <f>'C - O&amp;M'!N24*'C - Assumptions'!$F$18</f>
        <v>3329.3311916475222</v>
      </c>
      <c r="O61" s="108">
        <f>'C - O&amp;M'!O24*'C - Assumptions'!$F$18</f>
        <v>3538.8982718019288</v>
      </c>
      <c r="P61" s="108">
        <f>'C - O&amp;M'!P24*'C - Assumptions'!$F$18</f>
        <v>3761.6566983728844</v>
      </c>
      <c r="Q61" s="108">
        <f>'C - O&amp;M'!Q24*'C - Assumptions'!$F$18</f>
        <v>3998.436809885663</v>
      </c>
      <c r="R61" s="108">
        <f>'C - O&amp;M'!R24*'C - Assumptions'!$F$18</f>
        <v>4250.1212111046907</v>
      </c>
      <c r="S61" s="108">
        <f>'C - O&amp;M'!S24*'C - Assumptions'!$F$18</f>
        <v>4517.6480629685229</v>
      </c>
      <c r="T61" s="108">
        <f>'C - O&amp;M'!T24*'C - Assumptions'!$F$18</f>
        <v>4802.0145796120732</v>
      </c>
      <c r="U61" s="108">
        <f>'C - O&amp;M'!U24*'C - Assumptions'!$F$18</f>
        <v>5104.280745511358</v>
      </c>
      <c r="V61" s="108">
        <f>'C - O&amp;M'!V24*'C - Assumptions'!$F$18</f>
        <v>5425.5732666065142</v>
      </c>
      <c r="W61" s="108">
        <f>'C - O&amp;M'!W24*'C - Assumptions'!$F$18</f>
        <v>5767.0897701310187</v>
      </c>
      <c r="X61" s="108">
        <f>'C - O&amp;M'!X24*'C - Assumptions'!$F$18</f>
        <v>6130.1032688020932</v>
      </c>
      <c r="Y61" s="108">
        <f>'C - O&amp;M'!Y24*'C - Assumptions'!$F$18</f>
        <v>6515.9669060127017</v>
      </c>
      <c r="Z61" s="108">
        <f>'C - O&amp;M'!Z24*'C - Assumptions'!$F$18</f>
        <v>6926.1189997129659</v>
      </c>
      <c r="AA61" s="108">
        <f>'C - O&amp;M'!AA24*'C - Assumptions'!$F$18</f>
        <v>7362.088403782237</v>
      </c>
      <c r="AB61" s="19">
        <f>'C - O&amp;M'!AB24*'C - Assumptions'!$F$18</f>
        <v>7825.5002068764734</v>
      </c>
    </row>
    <row r="62" spans="1:28" x14ac:dyDescent="0.25">
      <c r="B62" s="66" t="s">
        <v>113</v>
      </c>
      <c r="C62" s="73" t="s">
        <v>0</v>
      </c>
      <c r="D62" s="70">
        <f ca="1">D71</f>
        <v>12314.578677044716</v>
      </c>
      <c r="E62" s="63">
        <f t="shared" ref="E62:AB62" ca="1" si="20">E71</f>
        <v>11530.152072075551</v>
      </c>
      <c r="F62" s="63">
        <f t="shared" ca="1" si="20"/>
        <v>10858.104270965172</v>
      </c>
      <c r="G62" s="63">
        <f t="shared" ca="1" si="20"/>
        <v>10286.218735426597</v>
      </c>
      <c r="H62" s="63">
        <f t="shared" ca="1" si="20"/>
        <v>9803.7187361908454</v>
      </c>
      <c r="I62" s="63">
        <f t="shared" ca="1" si="20"/>
        <v>9401.1847157975662</v>
      </c>
      <c r="J62" s="63">
        <f t="shared" ca="1" si="20"/>
        <v>9070.4097152610484</v>
      </c>
      <c r="K62" s="63">
        <f t="shared" ca="1" si="20"/>
        <v>8804.2590396364285</v>
      </c>
      <c r="L62" s="63">
        <f t="shared" ca="1" si="20"/>
        <v>8790.7376217029432</v>
      </c>
      <c r="M62" s="63">
        <f t="shared" ca="1" si="20"/>
        <v>8954.4028385494275</v>
      </c>
      <c r="N62" s="63">
        <f t="shared" ca="1" si="20"/>
        <v>9128.3700769260631</v>
      </c>
      <c r="O62" s="63">
        <f t="shared" ca="1" si="20"/>
        <v>9313.2878047825634</v>
      </c>
      <c r="P62" s="63">
        <f t="shared" ca="1" si="20"/>
        <v>7768.490672273223</v>
      </c>
      <c r="Q62" s="63">
        <f t="shared" ca="1" si="20"/>
        <v>7977.4206253473958</v>
      </c>
      <c r="R62" s="63">
        <f t="shared" ca="1" si="20"/>
        <v>8199.5018204284897</v>
      </c>
      <c r="S62" s="63">
        <f t="shared" ca="1" si="20"/>
        <v>8435.5620716416724</v>
      </c>
      <c r="T62" s="63">
        <f t="shared" ca="1" si="20"/>
        <v>8686.4813004511252</v>
      </c>
      <c r="U62" s="63">
        <f t="shared" ca="1" si="20"/>
        <v>8953.1948155929567</v>
      </c>
      <c r="V62" s="63">
        <f t="shared" ca="1" si="20"/>
        <v>9236.696799465748</v>
      </c>
      <c r="W62" s="63">
        <f t="shared" ca="1" si="20"/>
        <v>9538.0440139744278</v>
      </c>
      <c r="X62" s="63">
        <f t="shared" ca="1" si="20"/>
        <v>9858.3597396410496</v>
      </c>
      <c r="Y62" s="63">
        <f t="shared" ca="1" si="20"/>
        <v>10198.837962665668</v>
      </c>
      <c r="Z62" s="63">
        <f t="shared" ca="1" si="20"/>
        <v>10560.747825544693</v>
      </c>
      <c r="AA62" s="63">
        <f t="shared" ca="1" si="20"/>
        <v>10945.438357836516</v>
      </c>
      <c r="AB62" s="67">
        <f t="shared" ca="1" si="20"/>
        <v>11354.343504708495</v>
      </c>
    </row>
    <row r="63" spans="1:28" x14ac:dyDescent="0.25">
      <c r="B63" s="66" t="s">
        <v>114</v>
      </c>
      <c r="C63" s="73" t="s">
        <v>0</v>
      </c>
      <c r="D63" s="113">
        <f ca="1">SUM(D58:D62)</f>
        <v>22078.014524382452</v>
      </c>
      <c r="E63" s="63">
        <f t="shared" ref="E63:AB63" ca="1" si="21">SUM(E58:E62)</f>
        <v>21455.087919413287</v>
      </c>
      <c r="F63" s="63">
        <f t="shared" ca="1" si="21"/>
        <v>20954.456784969574</v>
      </c>
      <c r="G63" s="63">
        <f t="shared" ca="1" si="21"/>
        <v>20564.75183971248</v>
      </c>
      <c r="H63" s="63">
        <f t="shared" ca="1" si="21"/>
        <v>20275.899915417554</v>
      </c>
      <c r="I63" s="63">
        <f t="shared" ca="1" si="21"/>
        <v>20079.203283465868</v>
      </c>
      <c r="J63" s="63">
        <f t="shared" ca="1" si="21"/>
        <v>19967.222249734346</v>
      </c>
      <c r="K63" s="63">
        <f t="shared" ca="1" si="21"/>
        <v>19933.63768016412</v>
      </c>
      <c r="L63" s="63">
        <f t="shared" ca="1" si="21"/>
        <v>20167.321404470727</v>
      </c>
      <c r="M63" s="63">
        <f t="shared" ca="1" si="21"/>
        <v>20593.752264113202</v>
      </c>
      <c r="N63" s="63">
        <f t="shared" ca="1" si="21"/>
        <v>21047.025112431118</v>
      </c>
      <c r="O63" s="63">
        <f t="shared" ca="1" si="21"/>
        <v>21528.829537173031</v>
      </c>
      <c r="P63" s="63">
        <f t="shared" ca="1" si="21"/>
        <v>20299.606842305879</v>
      </c>
      <c r="Q63" s="63">
        <f t="shared" ca="1" si="21"/>
        <v>20843.97528668982</v>
      </c>
      <c r="R63" s="63">
        <f t="shared" ca="1" si="21"/>
        <v>21422.609383497871</v>
      </c>
      <c r="S63" s="63">
        <f t="shared" ca="1" si="21"/>
        <v>22037.666008184817</v>
      </c>
      <c r="T63" s="63">
        <f t="shared" ca="1" si="21"/>
        <v>22691.437802239299</v>
      </c>
      <c r="U63" s="63">
        <f t="shared" ca="1" si="21"/>
        <v>23386.361719071781</v>
      </c>
      <c r="V63" s="63">
        <f t="shared" ca="1" si="21"/>
        <v>24125.028107829377</v>
      </c>
      <c r="W63" s="63">
        <f t="shared" ca="1" si="21"/>
        <v>24910.190368997773</v>
      </c>
      <c r="X63" s="63">
        <f t="shared" ca="1" si="21"/>
        <v>25744.775217781753</v>
      </c>
      <c r="Y63" s="63">
        <f t="shared" ca="1" si="21"/>
        <v>26631.893593521396</v>
      </c>
      <c r="Z63" s="63">
        <f t="shared" ca="1" si="21"/>
        <v>27574.852255809128</v>
      </c>
      <c r="AA63" s="63">
        <f t="shared" ca="1" si="21"/>
        <v>28577.16611053242</v>
      </c>
      <c r="AB63" s="67">
        <f t="shared" ca="1" si="21"/>
        <v>29642.571311787899</v>
      </c>
    </row>
    <row r="64" spans="1:28" x14ac:dyDescent="0.25">
      <c r="A64" s="35"/>
      <c r="B64" s="66" t="s">
        <v>115</v>
      </c>
      <c r="C64" s="73" t="s">
        <v>25</v>
      </c>
      <c r="D64" s="117">
        <f>'C - Assumptions'!$F$19</f>
        <v>0.128</v>
      </c>
      <c r="E64" s="64">
        <f>'C - Assumptions'!$F$19</f>
        <v>0.128</v>
      </c>
      <c r="F64" s="64">
        <f>'C - Assumptions'!$F$19</f>
        <v>0.128</v>
      </c>
      <c r="G64" s="64">
        <f>'C - Assumptions'!$F$19</f>
        <v>0.128</v>
      </c>
      <c r="H64" s="64">
        <f>'C - Assumptions'!$F$19</f>
        <v>0.128</v>
      </c>
      <c r="I64" s="64">
        <f>'C - Assumptions'!$F$19</f>
        <v>0.128</v>
      </c>
      <c r="J64" s="64">
        <f>'C - Assumptions'!$F$19</f>
        <v>0.128</v>
      </c>
      <c r="K64" s="64">
        <f>'C - Assumptions'!$F$19</f>
        <v>0.128</v>
      </c>
      <c r="L64" s="64">
        <f>'C - Assumptions'!$F$19</f>
        <v>0.128</v>
      </c>
      <c r="M64" s="64">
        <f>'C - Assumptions'!$F$19</f>
        <v>0.128</v>
      </c>
      <c r="N64" s="64">
        <f>'C - Assumptions'!$F$19</f>
        <v>0.128</v>
      </c>
      <c r="O64" s="64">
        <f>'C - Assumptions'!$F$19</f>
        <v>0.128</v>
      </c>
      <c r="P64" s="64">
        <f>'C - Assumptions'!$F$19</f>
        <v>0.128</v>
      </c>
      <c r="Q64" s="64">
        <f>'C - Assumptions'!$F$19</f>
        <v>0.128</v>
      </c>
      <c r="R64" s="64">
        <f>'C - Assumptions'!$F$19</f>
        <v>0.128</v>
      </c>
      <c r="S64" s="64">
        <f>'C - Assumptions'!$F$19</f>
        <v>0.128</v>
      </c>
      <c r="T64" s="64">
        <f>'C - Assumptions'!$F$19</f>
        <v>0.128</v>
      </c>
      <c r="U64" s="64">
        <f>'C - Assumptions'!$F$19</f>
        <v>0.128</v>
      </c>
      <c r="V64" s="64">
        <f>'C - Assumptions'!$F$19</f>
        <v>0.128</v>
      </c>
      <c r="W64" s="64">
        <f>'C - Assumptions'!$F$19</f>
        <v>0.128</v>
      </c>
      <c r="X64" s="64">
        <f>'C - Assumptions'!$F$19</f>
        <v>0.128</v>
      </c>
      <c r="Y64" s="64">
        <f>'C - Assumptions'!$F$19</f>
        <v>0.128</v>
      </c>
      <c r="Z64" s="64">
        <f>'C - Assumptions'!$F$19</f>
        <v>0.128</v>
      </c>
      <c r="AA64" s="64">
        <f>'C - Assumptions'!$F$19</f>
        <v>0.128</v>
      </c>
      <c r="AB64" s="68">
        <f>'C - Assumptions'!$F$19</f>
        <v>0.128</v>
      </c>
    </row>
    <row r="65" spans="1:28" ht="15.75" thickBot="1" x14ac:dyDescent="0.3">
      <c r="A65" s="116"/>
      <c r="B65" s="84" t="s">
        <v>47</v>
      </c>
      <c r="C65" s="85" t="s">
        <v>0</v>
      </c>
      <c r="D65" s="86">
        <f ca="1">D64*D63</f>
        <v>2825.985859120954</v>
      </c>
      <c r="E65" s="87">
        <f t="shared" ref="E65:AB65" ca="1" si="22">E64*E63</f>
        <v>2746.2512536849008</v>
      </c>
      <c r="F65" s="87">
        <f t="shared" ca="1" si="22"/>
        <v>2682.1704684761057</v>
      </c>
      <c r="G65" s="87">
        <f t="shared" ca="1" si="22"/>
        <v>2632.2882354831977</v>
      </c>
      <c r="H65" s="87">
        <f t="shared" ca="1" si="22"/>
        <v>2595.3151891734469</v>
      </c>
      <c r="I65" s="87">
        <f t="shared" ca="1" si="22"/>
        <v>2570.1380202836312</v>
      </c>
      <c r="J65" s="87">
        <f t="shared" ca="1" si="22"/>
        <v>2555.8044479659966</v>
      </c>
      <c r="K65" s="87">
        <f t="shared" ca="1" si="22"/>
        <v>2551.5056230610076</v>
      </c>
      <c r="L65" s="87">
        <f t="shared" ca="1" si="22"/>
        <v>2581.417139772253</v>
      </c>
      <c r="M65" s="87">
        <f t="shared" ca="1" si="22"/>
        <v>2636.0002898064899</v>
      </c>
      <c r="N65" s="87">
        <f t="shared" ca="1" si="22"/>
        <v>2694.0192143911831</v>
      </c>
      <c r="O65" s="87">
        <f t="shared" ca="1" si="22"/>
        <v>2755.690180758148</v>
      </c>
      <c r="P65" s="87">
        <f t="shared" ca="1" si="22"/>
        <v>2598.3496758151528</v>
      </c>
      <c r="Q65" s="87">
        <f t="shared" ca="1" si="22"/>
        <v>2668.0288366962968</v>
      </c>
      <c r="R65" s="87">
        <f t="shared" ca="1" si="22"/>
        <v>2742.0940010877275</v>
      </c>
      <c r="S65" s="87">
        <f t="shared" ca="1" si="22"/>
        <v>2820.8212490476567</v>
      </c>
      <c r="T65" s="87">
        <f t="shared" ca="1" si="22"/>
        <v>2904.5040386866303</v>
      </c>
      <c r="U65" s="87">
        <f t="shared" ca="1" si="22"/>
        <v>2993.4543000411882</v>
      </c>
      <c r="V65" s="87">
        <f t="shared" ca="1" si="22"/>
        <v>3088.0035978021606</v>
      </c>
      <c r="W65" s="87">
        <f t="shared" ca="1" si="22"/>
        <v>3188.5043672317152</v>
      </c>
      <c r="X65" s="87">
        <f t="shared" ca="1" si="22"/>
        <v>3295.3312278760645</v>
      </c>
      <c r="Y65" s="87">
        <f t="shared" ca="1" si="22"/>
        <v>3408.8823799707388</v>
      </c>
      <c r="Z65" s="87">
        <f t="shared" ca="1" si="22"/>
        <v>3529.5810887435687</v>
      </c>
      <c r="AA65" s="87">
        <f t="shared" ca="1" si="22"/>
        <v>3657.8772621481498</v>
      </c>
      <c r="AB65" s="88">
        <f t="shared" ca="1" si="22"/>
        <v>3794.2491279088513</v>
      </c>
    </row>
    <row r="66" spans="1:28" x14ac:dyDescent="0.25">
      <c r="A66" s="2"/>
      <c r="B66" s="2"/>
      <c r="C66" s="2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ht="15.75" thickBot="1" x14ac:dyDescent="0.3">
      <c r="A67" s="2"/>
      <c r="B67" s="2" t="s">
        <v>312</v>
      </c>
      <c r="C67" s="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1:28" ht="15.75" thickBot="1" x14ac:dyDescent="0.3">
      <c r="A68" s="2"/>
      <c r="B68" s="122"/>
      <c r="C68" s="123" t="s">
        <v>4</v>
      </c>
      <c r="D68" s="124">
        <v>1</v>
      </c>
      <c r="E68" s="125">
        <v>2</v>
      </c>
      <c r="F68" s="125">
        <v>3</v>
      </c>
      <c r="G68" s="125">
        <v>4</v>
      </c>
      <c r="H68" s="125">
        <v>5</v>
      </c>
      <c r="I68" s="125">
        <v>6</v>
      </c>
      <c r="J68" s="125">
        <v>7</v>
      </c>
      <c r="K68" s="125">
        <v>8</v>
      </c>
      <c r="L68" s="125">
        <v>9</v>
      </c>
      <c r="M68" s="125">
        <v>10</v>
      </c>
      <c r="N68" s="125">
        <v>11</v>
      </c>
      <c r="O68" s="125">
        <v>12</v>
      </c>
      <c r="P68" s="125">
        <v>13</v>
      </c>
      <c r="Q68" s="125">
        <v>14</v>
      </c>
      <c r="R68" s="125">
        <v>15</v>
      </c>
      <c r="S68" s="125">
        <v>16</v>
      </c>
      <c r="T68" s="125">
        <v>17</v>
      </c>
      <c r="U68" s="125">
        <v>18</v>
      </c>
      <c r="V68" s="125">
        <v>19</v>
      </c>
      <c r="W68" s="125">
        <v>20</v>
      </c>
      <c r="X68" s="125">
        <v>21</v>
      </c>
      <c r="Y68" s="125">
        <v>22</v>
      </c>
      <c r="Z68" s="125">
        <v>23</v>
      </c>
      <c r="AA68" s="125">
        <v>24</v>
      </c>
      <c r="AB68" s="126">
        <v>25</v>
      </c>
    </row>
    <row r="69" spans="1:28" x14ac:dyDescent="0.25">
      <c r="A69" s="2"/>
      <c r="B69" s="74" t="s">
        <v>116</v>
      </c>
      <c r="C69" s="75" t="s">
        <v>0</v>
      </c>
      <c r="D69" s="76">
        <f>'C - Generation'!E20</f>
        <v>0</v>
      </c>
      <c r="E69" s="77">
        <f>'C - Generation'!F20</f>
        <v>0</v>
      </c>
      <c r="F69" s="77">
        <f>'C - Generation'!G20</f>
        <v>0</v>
      </c>
      <c r="G69" s="77">
        <f>'C - Generation'!H20</f>
        <v>0</v>
      </c>
      <c r="H69" s="77">
        <f>'C - Generation'!I20</f>
        <v>0</v>
      </c>
      <c r="I69" s="77">
        <f>'C - Generation'!J20</f>
        <v>0</v>
      </c>
      <c r="J69" s="77">
        <f>'C - Generation'!K20</f>
        <v>0</v>
      </c>
      <c r="K69" s="77">
        <f>'C - Generation'!L20</f>
        <v>0</v>
      </c>
      <c r="L69" s="77">
        <f>'C - Generation'!M20</f>
        <v>0</v>
      </c>
      <c r="M69" s="77">
        <f>'C - Generation'!N20</f>
        <v>0</v>
      </c>
      <c r="N69" s="77">
        <f>'C - Generation'!O20</f>
        <v>0</v>
      </c>
      <c r="O69" s="77">
        <f>'C - Generation'!P20</f>
        <v>0</v>
      </c>
      <c r="P69" s="77">
        <f>'C - Generation'!Q20</f>
        <v>0</v>
      </c>
      <c r="Q69" s="77">
        <f>'C - Generation'!R20</f>
        <v>0</v>
      </c>
      <c r="R69" s="77">
        <f>'C - Generation'!S20</f>
        <v>0</v>
      </c>
      <c r="S69" s="77">
        <f>'C - Generation'!T20</f>
        <v>0</v>
      </c>
      <c r="T69" s="77">
        <f>'C - Generation'!U20</f>
        <v>0</v>
      </c>
      <c r="U69" s="77">
        <f>'C - Generation'!V20</f>
        <v>0</v>
      </c>
      <c r="V69" s="77">
        <f>'C - Generation'!W20</f>
        <v>0</v>
      </c>
      <c r="W69" s="77">
        <f>'C - Generation'!X20</f>
        <v>0</v>
      </c>
      <c r="X69" s="77">
        <f>'C - Generation'!Y20</f>
        <v>0</v>
      </c>
      <c r="Y69" s="77">
        <f>'C - Generation'!Z20</f>
        <v>0</v>
      </c>
      <c r="Z69" s="77">
        <f>'C - Generation'!AA20</f>
        <v>0</v>
      </c>
      <c r="AA69" s="77">
        <f>'C - Generation'!AB20</f>
        <v>0</v>
      </c>
      <c r="AB69" s="78">
        <f>'C - Generation'!AC20</f>
        <v>0</v>
      </c>
    </row>
    <row r="70" spans="1:28" x14ac:dyDescent="0.25">
      <c r="A70" s="2"/>
      <c r="B70" s="66" t="s">
        <v>117</v>
      </c>
      <c r="C70" s="73" t="s">
        <v>0</v>
      </c>
      <c r="D70" s="70">
        <f ca="1">'C_DI - Post-GST LCOE'!E9/6</f>
        <v>12314.578677044716</v>
      </c>
      <c r="E70" s="63">
        <f ca="1">'C_DI - Post-GST LCOE'!F9/6</f>
        <v>11530.152072075551</v>
      </c>
      <c r="F70" s="63">
        <f ca="1">'C_DI - Post-GST LCOE'!G9/6</f>
        <v>10858.104270965172</v>
      </c>
      <c r="G70" s="63">
        <f ca="1">'C_DI - Post-GST LCOE'!H9/6</f>
        <v>10286.218735426597</v>
      </c>
      <c r="H70" s="63">
        <f ca="1">'C_DI - Post-GST LCOE'!I9/6</f>
        <v>9803.7187361908454</v>
      </c>
      <c r="I70" s="63">
        <f ca="1">'C_DI - Post-GST LCOE'!J9/6</f>
        <v>9401.1847157975662</v>
      </c>
      <c r="J70" s="63">
        <f ca="1">'C_DI - Post-GST LCOE'!K9/6</f>
        <v>9070.4097152610484</v>
      </c>
      <c r="K70" s="63">
        <f ca="1">'C_DI - Post-GST LCOE'!L9/6</f>
        <v>8804.2590396364285</v>
      </c>
      <c r="L70" s="63">
        <f ca="1">'C_DI - Post-GST LCOE'!M9/6</f>
        <v>8790.7376217029432</v>
      </c>
      <c r="M70" s="63">
        <f ca="1">'C_DI - Post-GST LCOE'!N9/6</f>
        <v>8954.4028385494275</v>
      </c>
      <c r="N70" s="63">
        <f ca="1">'C_DI - Post-GST LCOE'!O9/6</f>
        <v>9128.3700769260631</v>
      </c>
      <c r="O70" s="63">
        <f ca="1">'C_DI - Post-GST LCOE'!P9/6</f>
        <v>9313.2878047825634</v>
      </c>
      <c r="P70" s="63">
        <f ca="1">'C_DI - Post-GST LCOE'!Q9/6</f>
        <v>7768.490672273223</v>
      </c>
      <c r="Q70" s="63">
        <f ca="1">'C_DI - Post-GST LCOE'!R9/6</f>
        <v>7977.4206253473958</v>
      </c>
      <c r="R70" s="63">
        <f ca="1">'C_DI - Post-GST LCOE'!S9/6</f>
        <v>8199.5018204284897</v>
      </c>
      <c r="S70" s="63">
        <f ca="1">'C_DI - Post-GST LCOE'!T9/6</f>
        <v>8435.5620716416724</v>
      </c>
      <c r="T70" s="63">
        <f ca="1">'C_DI - Post-GST LCOE'!U9/6</f>
        <v>8686.4813004511252</v>
      </c>
      <c r="U70" s="63">
        <f ca="1">'C_DI - Post-GST LCOE'!V9/6</f>
        <v>8953.1948155929567</v>
      </c>
      <c r="V70" s="63">
        <f ca="1">'C_DI - Post-GST LCOE'!W9/6</f>
        <v>9236.696799465748</v>
      </c>
      <c r="W70" s="63">
        <f ca="1">'C_DI - Post-GST LCOE'!X9/6</f>
        <v>9538.0440139744278</v>
      </c>
      <c r="X70" s="63">
        <f ca="1">'C_DI - Post-GST LCOE'!Y9/6</f>
        <v>9858.3597396410496</v>
      </c>
      <c r="Y70" s="63">
        <f ca="1">'C_DI - Post-GST LCOE'!Z9/6</f>
        <v>10198.837962665668</v>
      </c>
      <c r="Z70" s="63">
        <f ca="1">'C_DI - Post-GST LCOE'!AA9/6</f>
        <v>10560.747825544693</v>
      </c>
      <c r="AA70" s="63">
        <f ca="1">'C_DI - Post-GST LCOE'!AB9/6</f>
        <v>10945.438357836516</v>
      </c>
      <c r="AB70" s="67">
        <f ca="1">'C_DI - Post-GST LCOE'!AC9/6</f>
        <v>11354.343504708495</v>
      </c>
    </row>
    <row r="71" spans="1:28" s="2" customFormat="1" ht="15.75" thickBot="1" x14ac:dyDescent="0.3">
      <c r="B71" s="84" t="s">
        <v>2</v>
      </c>
      <c r="C71" s="85" t="s">
        <v>0</v>
      </c>
      <c r="D71" s="86">
        <f ca="1">SUM(D69:D70)</f>
        <v>12314.578677044716</v>
      </c>
      <c r="E71" s="87">
        <f t="shared" ref="E71:AB71" ca="1" si="23">SUM(E69:E70)</f>
        <v>11530.152072075551</v>
      </c>
      <c r="F71" s="87">
        <f t="shared" ca="1" si="23"/>
        <v>10858.104270965172</v>
      </c>
      <c r="G71" s="87">
        <f t="shared" ca="1" si="23"/>
        <v>10286.218735426597</v>
      </c>
      <c r="H71" s="87">
        <f t="shared" ca="1" si="23"/>
        <v>9803.7187361908454</v>
      </c>
      <c r="I71" s="87">
        <f t="shared" ca="1" si="23"/>
        <v>9401.1847157975662</v>
      </c>
      <c r="J71" s="87">
        <f t="shared" ca="1" si="23"/>
        <v>9070.4097152610484</v>
      </c>
      <c r="K71" s="87">
        <f t="shared" ca="1" si="23"/>
        <v>8804.2590396364285</v>
      </c>
      <c r="L71" s="87">
        <f t="shared" ca="1" si="23"/>
        <v>8790.7376217029432</v>
      </c>
      <c r="M71" s="87">
        <f t="shared" ca="1" si="23"/>
        <v>8954.4028385494275</v>
      </c>
      <c r="N71" s="87">
        <f t="shared" ca="1" si="23"/>
        <v>9128.3700769260631</v>
      </c>
      <c r="O71" s="87">
        <f t="shared" ca="1" si="23"/>
        <v>9313.2878047825634</v>
      </c>
      <c r="P71" s="87">
        <f t="shared" ca="1" si="23"/>
        <v>7768.490672273223</v>
      </c>
      <c r="Q71" s="87">
        <f t="shared" ca="1" si="23"/>
        <v>7977.4206253473958</v>
      </c>
      <c r="R71" s="87">
        <f t="shared" ca="1" si="23"/>
        <v>8199.5018204284897</v>
      </c>
      <c r="S71" s="87">
        <f t="shared" ca="1" si="23"/>
        <v>8435.5620716416724</v>
      </c>
      <c r="T71" s="87">
        <f t="shared" ca="1" si="23"/>
        <v>8686.4813004511252</v>
      </c>
      <c r="U71" s="87">
        <f t="shared" ca="1" si="23"/>
        <v>8953.1948155929567</v>
      </c>
      <c r="V71" s="87">
        <f t="shared" ca="1" si="23"/>
        <v>9236.696799465748</v>
      </c>
      <c r="W71" s="87">
        <f t="shared" ca="1" si="23"/>
        <v>9538.0440139744278</v>
      </c>
      <c r="X71" s="87">
        <f t="shared" ca="1" si="23"/>
        <v>9858.3597396410496</v>
      </c>
      <c r="Y71" s="87">
        <f t="shared" ca="1" si="23"/>
        <v>10198.837962665668</v>
      </c>
      <c r="Z71" s="87">
        <f t="shared" ca="1" si="23"/>
        <v>10560.747825544693</v>
      </c>
      <c r="AA71" s="87">
        <f t="shared" ca="1" si="23"/>
        <v>10945.438357836516</v>
      </c>
      <c r="AB71" s="88">
        <f t="shared" ca="1" si="23"/>
        <v>11354.343504708495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805E-B23F-43E5-A36F-CED9E50EAE3C}">
  <sheetPr>
    <tabColor theme="3" tint="-0.249977111117893"/>
  </sheetPr>
  <dimension ref="B1:AC20"/>
  <sheetViews>
    <sheetView topLeftCell="L1" workbookViewId="0">
      <selection activeCell="E17" sqref="A1:XFD1048576"/>
    </sheetView>
  </sheetViews>
  <sheetFormatPr defaultRowHeight="15" x14ac:dyDescent="0.25"/>
  <cols>
    <col min="1" max="1" width="5" customWidth="1"/>
    <col min="2" max="2" width="35.7109375" bestFit="1" customWidth="1"/>
    <col min="3" max="3" width="9.42578125" bestFit="1" customWidth="1"/>
    <col min="4" max="4" width="8.7109375" bestFit="1" customWidth="1"/>
    <col min="5" max="29" width="14.28515625" bestFit="1" customWidth="1"/>
  </cols>
  <sheetData>
    <row r="1" spans="2:29" ht="15.75" thickBot="1" x14ac:dyDescent="0.3"/>
    <row r="2" spans="2:29" s="2" customFormat="1" ht="15.75" thickBot="1" x14ac:dyDescent="0.3">
      <c r="B2" s="79" t="s">
        <v>92</v>
      </c>
      <c r="C2" s="80" t="s">
        <v>1</v>
      </c>
      <c r="D2" s="281" t="s">
        <v>99</v>
      </c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82">
        <v>6</v>
      </c>
      <c r="K2" s="82">
        <v>7</v>
      </c>
      <c r="L2" s="82">
        <v>8</v>
      </c>
      <c r="M2" s="82">
        <v>9</v>
      </c>
      <c r="N2" s="82">
        <v>10</v>
      </c>
      <c r="O2" s="82">
        <v>11</v>
      </c>
      <c r="P2" s="82">
        <v>12</v>
      </c>
      <c r="Q2" s="82">
        <v>13</v>
      </c>
      <c r="R2" s="82">
        <v>14</v>
      </c>
      <c r="S2" s="82">
        <v>15</v>
      </c>
      <c r="T2" s="82">
        <v>16</v>
      </c>
      <c r="U2" s="82">
        <v>17</v>
      </c>
      <c r="V2" s="82">
        <v>18</v>
      </c>
      <c r="W2" s="82">
        <v>19</v>
      </c>
      <c r="X2" s="82">
        <v>20</v>
      </c>
      <c r="Y2" s="82">
        <v>21</v>
      </c>
      <c r="Z2" s="82">
        <v>22</v>
      </c>
      <c r="AA2" s="82">
        <v>23</v>
      </c>
      <c r="AB2" s="82">
        <v>24</v>
      </c>
      <c r="AC2" s="83">
        <v>25</v>
      </c>
    </row>
    <row r="3" spans="2:29" x14ac:dyDescent="0.25">
      <c r="B3" s="74" t="s">
        <v>93</v>
      </c>
      <c r="C3" s="75" t="s">
        <v>23</v>
      </c>
      <c r="D3" s="282"/>
      <c r="E3" s="223">
        <f>'C - Assumptions'!$E$3</f>
        <v>500</v>
      </c>
      <c r="F3" s="223">
        <f>'C - Assumptions'!$E$3</f>
        <v>500</v>
      </c>
      <c r="G3" s="223">
        <f>'C - Assumptions'!$E$3</f>
        <v>500</v>
      </c>
      <c r="H3" s="223">
        <f>'C - Assumptions'!$E$3</f>
        <v>500</v>
      </c>
      <c r="I3" s="223">
        <f>'C - Assumptions'!$E$3</f>
        <v>500</v>
      </c>
      <c r="J3" s="223">
        <f>'C - Assumptions'!$E$3</f>
        <v>500</v>
      </c>
      <c r="K3" s="223">
        <f>'C - Assumptions'!$E$3</f>
        <v>500</v>
      </c>
      <c r="L3" s="223">
        <f>'C - Assumptions'!$E$3</f>
        <v>500</v>
      </c>
      <c r="M3" s="223">
        <f>'C - Assumptions'!$E$3</f>
        <v>500</v>
      </c>
      <c r="N3" s="223">
        <f>'C - Assumptions'!$E$3</f>
        <v>500</v>
      </c>
      <c r="O3" s="223">
        <f>'C - Assumptions'!$E$3</f>
        <v>500</v>
      </c>
      <c r="P3" s="223">
        <f>'C - Assumptions'!$E$3</f>
        <v>500</v>
      </c>
      <c r="Q3" s="223">
        <f>'C - Assumptions'!$E$3</f>
        <v>500</v>
      </c>
      <c r="R3" s="223">
        <f>'C - Assumptions'!$E$3</f>
        <v>500</v>
      </c>
      <c r="S3" s="223">
        <f>'C - Assumptions'!$E$3</f>
        <v>500</v>
      </c>
      <c r="T3" s="223">
        <f>'C - Assumptions'!$E$3</f>
        <v>500</v>
      </c>
      <c r="U3" s="223">
        <f>'C - Assumptions'!$E$3</f>
        <v>500</v>
      </c>
      <c r="V3" s="223">
        <f>'C - Assumptions'!$E$3</f>
        <v>500</v>
      </c>
      <c r="W3" s="223">
        <f>'C - Assumptions'!$E$3</f>
        <v>500</v>
      </c>
      <c r="X3" s="223">
        <f>'C - Assumptions'!$E$3</f>
        <v>500</v>
      </c>
      <c r="Y3" s="223">
        <f>'C - Assumptions'!$E$3</f>
        <v>500</v>
      </c>
      <c r="Z3" s="223">
        <f>'C - Assumptions'!$E$3</f>
        <v>500</v>
      </c>
      <c r="AA3" s="223">
        <f>'C - Assumptions'!$E$3</f>
        <v>500</v>
      </c>
      <c r="AB3" s="223">
        <f>'C - Assumptions'!$E$3</f>
        <v>500</v>
      </c>
      <c r="AC3" s="197">
        <f>'C - Assumptions'!$E$3</f>
        <v>500</v>
      </c>
    </row>
    <row r="4" spans="2:29" x14ac:dyDescent="0.25">
      <c r="B4" s="66" t="s">
        <v>94</v>
      </c>
      <c r="C4" s="73" t="s">
        <v>25</v>
      </c>
      <c r="D4" s="283"/>
      <c r="E4" s="178">
        <f>'C - Assumptions'!$E$4</f>
        <v>0.85</v>
      </c>
      <c r="F4" s="178">
        <f>'C - Assumptions'!$E$4</f>
        <v>0.85</v>
      </c>
      <c r="G4" s="178">
        <f>'C - Assumptions'!$E$4</f>
        <v>0.85</v>
      </c>
      <c r="H4" s="178">
        <f>'C - Assumptions'!$E$4</f>
        <v>0.85</v>
      </c>
      <c r="I4" s="178">
        <f>'C - Assumptions'!$E$4</f>
        <v>0.85</v>
      </c>
      <c r="J4" s="178">
        <f>'C - Assumptions'!$E$4</f>
        <v>0.85</v>
      </c>
      <c r="K4" s="178">
        <f>'C - Assumptions'!$E$4</f>
        <v>0.85</v>
      </c>
      <c r="L4" s="178">
        <f>'C - Assumptions'!$E$4</f>
        <v>0.85</v>
      </c>
      <c r="M4" s="178">
        <f>'C - Assumptions'!$E$4</f>
        <v>0.85</v>
      </c>
      <c r="N4" s="178">
        <f>'C - Assumptions'!$E$4</f>
        <v>0.85</v>
      </c>
      <c r="O4" s="178">
        <f>'C - Assumptions'!$E$4</f>
        <v>0.85</v>
      </c>
      <c r="P4" s="178">
        <f>'C - Assumptions'!$E$4</f>
        <v>0.85</v>
      </c>
      <c r="Q4" s="178">
        <f>'C - Assumptions'!$E$4</f>
        <v>0.85</v>
      </c>
      <c r="R4" s="178">
        <f>'C - Assumptions'!$E$4</f>
        <v>0.85</v>
      </c>
      <c r="S4" s="178">
        <f>'C - Assumptions'!$E$4</f>
        <v>0.85</v>
      </c>
      <c r="T4" s="178">
        <f>'C - Assumptions'!$E$4</f>
        <v>0.85</v>
      </c>
      <c r="U4" s="178">
        <f>'C - Assumptions'!$E$4</f>
        <v>0.85</v>
      </c>
      <c r="V4" s="178">
        <f>'C - Assumptions'!$E$4</f>
        <v>0.85</v>
      </c>
      <c r="W4" s="178">
        <f>'C - Assumptions'!$E$4</f>
        <v>0.85</v>
      </c>
      <c r="X4" s="178">
        <f>'C - Assumptions'!$E$4</f>
        <v>0.85</v>
      </c>
      <c r="Y4" s="178">
        <f>'C - Assumptions'!$E$4</f>
        <v>0.85</v>
      </c>
      <c r="Z4" s="178">
        <f>'C - Assumptions'!$E$4</f>
        <v>0.85</v>
      </c>
      <c r="AA4" s="178">
        <f>'C - Assumptions'!$E$4</f>
        <v>0.85</v>
      </c>
      <c r="AB4" s="178">
        <f>'C - Assumptions'!$E$4</f>
        <v>0.85</v>
      </c>
      <c r="AC4" s="277">
        <f>'C - Assumptions'!$E$4</f>
        <v>0.85</v>
      </c>
    </row>
    <row r="5" spans="2:29" x14ac:dyDescent="0.25">
      <c r="B5" s="66" t="s">
        <v>95</v>
      </c>
      <c r="C5" s="73" t="s">
        <v>98</v>
      </c>
      <c r="D5" s="283"/>
      <c r="E5" s="207">
        <f>E3*8760*1000</f>
        <v>4380000000</v>
      </c>
      <c r="F5" s="207">
        <f t="shared" ref="F5:AC5" si="0">F3*8760*1000</f>
        <v>4380000000</v>
      </c>
      <c r="G5" s="207">
        <f t="shared" si="0"/>
        <v>4380000000</v>
      </c>
      <c r="H5" s="207">
        <f t="shared" si="0"/>
        <v>4380000000</v>
      </c>
      <c r="I5" s="207">
        <f t="shared" si="0"/>
        <v>4380000000</v>
      </c>
      <c r="J5" s="207">
        <f t="shared" si="0"/>
        <v>4380000000</v>
      </c>
      <c r="K5" s="207">
        <f t="shared" si="0"/>
        <v>4380000000</v>
      </c>
      <c r="L5" s="207">
        <f t="shared" si="0"/>
        <v>4380000000</v>
      </c>
      <c r="M5" s="207">
        <f t="shared" si="0"/>
        <v>4380000000</v>
      </c>
      <c r="N5" s="207">
        <f t="shared" si="0"/>
        <v>4380000000</v>
      </c>
      <c r="O5" s="207">
        <f t="shared" si="0"/>
        <v>4380000000</v>
      </c>
      <c r="P5" s="207">
        <f t="shared" si="0"/>
        <v>4380000000</v>
      </c>
      <c r="Q5" s="207">
        <f t="shared" si="0"/>
        <v>4380000000</v>
      </c>
      <c r="R5" s="207">
        <f t="shared" si="0"/>
        <v>4380000000</v>
      </c>
      <c r="S5" s="207">
        <f t="shared" si="0"/>
        <v>4380000000</v>
      </c>
      <c r="T5" s="207">
        <f t="shared" si="0"/>
        <v>4380000000</v>
      </c>
      <c r="U5" s="207">
        <f t="shared" si="0"/>
        <v>4380000000</v>
      </c>
      <c r="V5" s="207">
        <f t="shared" si="0"/>
        <v>4380000000</v>
      </c>
      <c r="W5" s="207">
        <f t="shared" si="0"/>
        <v>4380000000</v>
      </c>
      <c r="X5" s="207">
        <f t="shared" si="0"/>
        <v>4380000000</v>
      </c>
      <c r="Y5" s="207">
        <f t="shared" si="0"/>
        <v>4380000000</v>
      </c>
      <c r="Z5" s="207">
        <f t="shared" si="0"/>
        <v>4380000000</v>
      </c>
      <c r="AA5" s="207">
        <f t="shared" si="0"/>
        <v>4380000000</v>
      </c>
      <c r="AB5" s="207">
        <f t="shared" si="0"/>
        <v>4380000000</v>
      </c>
      <c r="AC5" s="185">
        <f t="shared" si="0"/>
        <v>4380000000</v>
      </c>
    </row>
    <row r="6" spans="2:29" s="2" customFormat="1" x14ac:dyDescent="0.25">
      <c r="B6" s="89" t="s">
        <v>96</v>
      </c>
      <c r="C6" s="90" t="s">
        <v>91</v>
      </c>
      <c r="D6" s="284"/>
      <c r="E6" s="276">
        <f>E5*10^-6</f>
        <v>4380</v>
      </c>
      <c r="F6" s="276">
        <f t="shared" ref="F6:AC6" si="1">F5*10^-6</f>
        <v>4380</v>
      </c>
      <c r="G6" s="276">
        <f t="shared" si="1"/>
        <v>4380</v>
      </c>
      <c r="H6" s="276">
        <f t="shared" si="1"/>
        <v>4380</v>
      </c>
      <c r="I6" s="276">
        <f t="shared" si="1"/>
        <v>4380</v>
      </c>
      <c r="J6" s="276">
        <f t="shared" si="1"/>
        <v>4380</v>
      </c>
      <c r="K6" s="276">
        <f t="shared" si="1"/>
        <v>4380</v>
      </c>
      <c r="L6" s="276">
        <f t="shared" si="1"/>
        <v>4380</v>
      </c>
      <c r="M6" s="276">
        <f t="shared" si="1"/>
        <v>4380</v>
      </c>
      <c r="N6" s="276">
        <f t="shared" si="1"/>
        <v>4380</v>
      </c>
      <c r="O6" s="276">
        <f t="shared" si="1"/>
        <v>4380</v>
      </c>
      <c r="P6" s="276">
        <f t="shared" si="1"/>
        <v>4380</v>
      </c>
      <c r="Q6" s="276">
        <f t="shared" si="1"/>
        <v>4380</v>
      </c>
      <c r="R6" s="276">
        <f t="shared" si="1"/>
        <v>4380</v>
      </c>
      <c r="S6" s="276">
        <f t="shared" si="1"/>
        <v>4380</v>
      </c>
      <c r="T6" s="276">
        <f t="shared" si="1"/>
        <v>4380</v>
      </c>
      <c r="U6" s="276">
        <f t="shared" si="1"/>
        <v>4380</v>
      </c>
      <c r="V6" s="276">
        <f t="shared" si="1"/>
        <v>4380</v>
      </c>
      <c r="W6" s="276">
        <f t="shared" si="1"/>
        <v>4380</v>
      </c>
      <c r="X6" s="276">
        <f t="shared" si="1"/>
        <v>4380</v>
      </c>
      <c r="Y6" s="276">
        <f t="shared" si="1"/>
        <v>4380</v>
      </c>
      <c r="Z6" s="276">
        <f t="shared" si="1"/>
        <v>4380</v>
      </c>
      <c r="AA6" s="276">
        <f t="shared" si="1"/>
        <v>4380</v>
      </c>
      <c r="AB6" s="276">
        <f t="shared" si="1"/>
        <v>4380</v>
      </c>
      <c r="AC6" s="278">
        <f t="shared" si="1"/>
        <v>4380</v>
      </c>
    </row>
    <row r="7" spans="2:29" x14ac:dyDescent="0.25">
      <c r="B7" s="66" t="s">
        <v>26</v>
      </c>
      <c r="C7" s="73" t="s">
        <v>91</v>
      </c>
      <c r="D7" s="283"/>
      <c r="E7" s="108">
        <f>$E$6*'C - Assumptions'!$E$5</f>
        <v>251.85000000000002</v>
      </c>
      <c r="F7" s="108">
        <f>$E$6*'C - Assumptions'!$E$5</f>
        <v>251.85000000000002</v>
      </c>
      <c r="G7" s="108">
        <f>$E$6*'C - Assumptions'!$E$5</f>
        <v>251.85000000000002</v>
      </c>
      <c r="H7" s="108">
        <f>$E$6*'C - Assumptions'!$E$5</f>
        <v>251.85000000000002</v>
      </c>
      <c r="I7" s="108">
        <f>$E$6*'C - Assumptions'!$E$5</f>
        <v>251.85000000000002</v>
      </c>
      <c r="J7" s="108">
        <f>$E$6*'C - Assumptions'!$E$5</f>
        <v>251.85000000000002</v>
      </c>
      <c r="K7" s="108">
        <f>$E$6*'C - Assumptions'!$E$5</f>
        <v>251.85000000000002</v>
      </c>
      <c r="L7" s="108">
        <f>$E$6*'C - Assumptions'!$E$5</f>
        <v>251.85000000000002</v>
      </c>
      <c r="M7" s="108">
        <f>$E$6*'C - Assumptions'!$E$5</f>
        <v>251.85000000000002</v>
      </c>
      <c r="N7" s="108">
        <f>$E$6*'C - Assumptions'!$E$5</f>
        <v>251.85000000000002</v>
      </c>
      <c r="O7" s="108">
        <f>$E$6*'C - Assumptions'!$E$5</f>
        <v>251.85000000000002</v>
      </c>
      <c r="P7" s="108">
        <f>$E$6*'C - Assumptions'!$E$5</f>
        <v>251.85000000000002</v>
      </c>
      <c r="Q7" s="108">
        <f>$E$6*'C - Assumptions'!$E$5</f>
        <v>251.85000000000002</v>
      </c>
      <c r="R7" s="108">
        <f>$E$6*'C - Assumptions'!$E$5</f>
        <v>251.85000000000002</v>
      </c>
      <c r="S7" s="108">
        <f>$E$6*'C - Assumptions'!$E$5</f>
        <v>251.85000000000002</v>
      </c>
      <c r="T7" s="108">
        <f>$E$6*'C - Assumptions'!$E$5</f>
        <v>251.85000000000002</v>
      </c>
      <c r="U7" s="108">
        <f>$E$6*'C - Assumptions'!$E$5</f>
        <v>251.85000000000002</v>
      </c>
      <c r="V7" s="108">
        <f>$E$6*'C - Assumptions'!$E$5</f>
        <v>251.85000000000002</v>
      </c>
      <c r="W7" s="108">
        <f>$E$6*'C - Assumptions'!$E$5</f>
        <v>251.85000000000002</v>
      </c>
      <c r="X7" s="108">
        <f>$E$6*'C - Assumptions'!$E$5</f>
        <v>251.85000000000002</v>
      </c>
      <c r="Y7" s="108">
        <f>$E$6*'C - Assumptions'!$E$5</f>
        <v>251.85000000000002</v>
      </c>
      <c r="Z7" s="108">
        <f>$E$6*'C - Assumptions'!$E$5</f>
        <v>251.85000000000002</v>
      </c>
      <c r="AA7" s="108">
        <f>$E$6*'C - Assumptions'!$E$5</f>
        <v>251.85000000000002</v>
      </c>
      <c r="AB7" s="108">
        <f>$E$6*'C - Assumptions'!$E$5</f>
        <v>251.85000000000002</v>
      </c>
      <c r="AC7" s="19">
        <f>$E$6*'C - Assumptions'!$E$5</f>
        <v>251.85000000000002</v>
      </c>
    </row>
    <row r="8" spans="2:29" s="2" customFormat="1" ht="15.75" thickBot="1" x14ac:dyDescent="0.3">
      <c r="B8" s="84" t="s">
        <v>97</v>
      </c>
      <c r="C8" s="85" t="s">
        <v>91</v>
      </c>
      <c r="D8" s="285"/>
      <c r="E8" s="279">
        <f>E6-E7</f>
        <v>4128.1499999999996</v>
      </c>
      <c r="F8" s="279">
        <f t="shared" ref="F8:AC8" si="2">F6-F7</f>
        <v>4128.1499999999996</v>
      </c>
      <c r="G8" s="279">
        <f t="shared" si="2"/>
        <v>4128.1499999999996</v>
      </c>
      <c r="H8" s="279">
        <f t="shared" si="2"/>
        <v>4128.1499999999996</v>
      </c>
      <c r="I8" s="279">
        <f t="shared" si="2"/>
        <v>4128.1499999999996</v>
      </c>
      <c r="J8" s="279">
        <f t="shared" si="2"/>
        <v>4128.1499999999996</v>
      </c>
      <c r="K8" s="279">
        <f t="shared" si="2"/>
        <v>4128.1499999999996</v>
      </c>
      <c r="L8" s="279">
        <f t="shared" si="2"/>
        <v>4128.1499999999996</v>
      </c>
      <c r="M8" s="279">
        <f t="shared" si="2"/>
        <v>4128.1499999999996</v>
      </c>
      <c r="N8" s="279">
        <f t="shared" si="2"/>
        <v>4128.1499999999996</v>
      </c>
      <c r="O8" s="279">
        <f t="shared" si="2"/>
        <v>4128.1499999999996</v>
      </c>
      <c r="P8" s="279">
        <f t="shared" si="2"/>
        <v>4128.1499999999996</v>
      </c>
      <c r="Q8" s="279">
        <f t="shared" si="2"/>
        <v>4128.1499999999996</v>
      </c>
      <c r="R8" s="279">
        <f t="shared" si="2"/>
        <v>4128.1499999999996</v>
      </c>
      <c r="S8" s="279">
        <f t="shared" si="2"/>
        <v>4128.1499999999996</v>
      </c>
      <c r="T8" s="279">
        <f t="shared" si="2"/>
        <v>4128.1499999999996</v>
      </c>
      <c r="U8" s="279">
        <f t="shared" si="2"/>
        <v>4128.1499999999996</v>
      </c>
      <c r="V8" s="279">
        <f t="shared" si="2"/>
        <v>4128.1499999999996</v>
      </c>
      <c r="W8" s="279">
        <f t="shared" si="2"/>
        <v>4128.1499999999996</v>
      </c>
      <c r="X8" s="279">
        <f t="shared" si="2"/>
        <v>4128.1499999999996</v>
      </c>
      <c r="Y8" s="279">
        <f t="shared" si="2"/>
        <v>4128.1499999999996</v>
      </c>
      <c r="Z8" s="279">
        <f t="shared" si="2"/>
        <v>4128.1499999999996</v>
      </c>
      <c r="AA8" s="279">
        <f t="shared" si="2"/>
        <v>4128.1499999999996</v>
      </c>
      <c r="AB8" s="279">
        <f t="shared" si="2"/>
        <v>4128.1499999999996</v>
      </c>
      <c r="AC8" s="280">
        <f t="shared" si="2"/>
        <v>4128.1499999999996</v>
      </c>
    </row>
    <row r="9" spans="2:29" s="2" customFormat="1" ht="15.75" thickBot="1" x14ac:dyDescent="0.3"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</row>
    <row r="10" spans="2:29" s="2" customFormat="1" x14ac:dyDescent="0.25">
      <c r="B10" s="286" t="s">
        <v>223</v>
      </c>
      <c r="C10" s="287"/>
      <c r="D10" s="287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9"/>
    </row>
    <row r="11" spans="2:29" s="2" customFormat="1" ht="15.75" thickBot="1" x14ac:dyDescent="0.3">
      <c r="B11" s="141" t="s">
        <v>227</v>
      </c>
      <c r="C11" s="110" t="s">
        <v>0</v>
      </c>
      <c r="D11" s="110"/>
      <c r="E11" s="119">
        <f>'C_D - Energy Charges'!$E$12*'C - Generation'!E8*10*2/12</f>
        <v>13027.268065675666</v>
      </c>
      <c r="F11" s="119">
        <f>'C_D - Energy Charges'!$E$12*'C - Generation'!F8*10*2/12</f>
        <v>13027.268065675666</v>
      </c>
      <c r="G11" s="119">
        <f>'C_D - Energy Charges'!$E$12*'C - Generation'!G8*10*2/12</f>
        <v>13027.268065675666</v>
      </c>
      <c r="H11" s="119">
        <f>'C_D - Energy Charges'!$E$12*'C - Generation'!H8*10*2/12</f>
        <v>13027.268065675666</v>
      </c>
      <c r="I11" s="119">
        <f>'C_D - Energy Charges'!$E$12*'C - Generation'!I8*10*2/12</f>
        <v>13027.268065675666</v>
      </c>
      <c r="J11" s="119">
        <f>'C_D - Energy Charges'!$E$12*'C - Generation'!J8*10*2/12</f>
        <v>13027.268065675666</v>
      </c>
      <c r="K11" s="119">
        <f>'C_D - Energy Charges'!$E$12*'C - Generation'!K8*10*2/12</f>
        <v>13027.268065675666</v>
      </c>
      <c r="L11" s="119">
        <f>'C_D - Energy Charges'!$E$12*'C - Generation'!L8*10*2/12</f>
        <v>13027.268065675666</v>
      </c>
      <c r="M11" s="119">
        <f>'C_D - Energy Charges'!$E$12*'C - Generation'!M8*10*2/12</f>
        <v>13027.268065675666</v>
      </c>
      <c r="N11" s="119">
        <f>'C_D - Energy Charges'!$E$12*'C - Generation'!N8*10*2/12</f>
        <v>13027.268065675666</v>
      </c>
      <c r="O11" s="119">
        <f>'C_D - Energy Charges'!$E$12*'C - Generation'!O8*10*2/12</f>
        <v>13027.268065675666</v>
      </c>
      <c r="P11" s="119">
        <f>'C_D - Energy Charges'!$E$12*'C - Generation'!P8*10*2/12</f>
        <v>13027.268065675666</v>
      </c>
      <c r="Q11" s="119">
        <f>'C_D - Energy Charges'!$E$12*'C - Generation'!Q8*10*2/12</f>
        <v>13027.268065675666</v>
      </c>
      <c r="R11" s="119">
        <f>'C_D - Energy Charges'!$E$12*'C - Generation'!R8*10*2/12</f>
        <v>13027.268065675666</v>
      </c>
      <c r="S11" s="119">
        <f>'C_D - Energy Charges'!$E$12*'C - Generation'!S8*10*2/12</f>
        <v>13027.268065675666</v>
      </c>
      <c r="T11" s="119">
        <f>'C_D - Energy Charges'!$E$12*'C - Generation'!T8*10*2/12</f>
        <v>13027.268065675666</v>
      </c>
      <c r="U11" s="119">
        <f>'C_D - Energy Charges'!$E$12*'C - Generation'!U8*10*2/12</f>
        <v>13027.268065675666</v>
      </c>
      <c r="V11" s="119">
        <f>'C_D - Energy Charges'!$E$12*'C - Generation'!V8*10*2/12</f>
        <v>13027.268065675666</v>
      </c>
      <c r="W11" s="119">
        <f>'C_D - Energy Charges'!$E$12*'C - Generation'!W8*10*2/12</f>
        <v>13027.268065675666</v>
      </c>
      <c r="X11" s="119">
        <f>'C_D - Energy Charges'!$E$12*'C - Generation'!X8*10*2/12</f>
        <v>13027.268065675666</v>
      </c>
      <c r="Y11" s="119">
        <f>'C_D - Energy Charges'!$E$12*'C - Generation'!Y8*10*2/12</f>
        <v>13027.268065675666</v>
      </c>
      <c r="Z11" s="119">
        <f>'C_D - Energy Charges'!$E$12*'C - Generation'!Z8*10*2/12</f>
        <v>13027.268065675666</v>
      </c>
      <c r="AA11" s="119">
        <f>'C_D - Energy Charges'!$E$12*'C - Generation'!AA8*10*2/12</f>
        <v>13027.268065675666</v>
      </c>
      <c r="AB11" s="119">
        <f>'C_D - Energy Charges'!$E$12*'C - Generation'!AB8*10*2/12</f>
        <v>13027.268065675666</v>
      </c>
      <c r="AC11" s="120">
        <f>'C_D - Energy Charges'!$E$12*'C - Generation'!AC8*10*2/12</f>
        <v>13027.268065675666</v>
      </c>
    </row>
    <row r="12" spans="2:29" s="2" customFormat="1" ht="15.75" thickBot="1" x14ac:dyDescent="0.3"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</row>
    <row r="13" spans="2:29" s="2" customFormat="1" x14ac:dyDescent="0.25">
      <c r="B13" s="286" t="s">
        <v>224</v>
      </c>
      <c r="C13" s="287"/>
      <c r="D13" s="287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9"/>
    </row>
    <row r="14" spans="2:29" s="2" customFormat="1" ht="15.75" thickBot="1" x14ac:dyDescent="0.3">
      <c r="B14" s="141" t="s">
        <v>227</v>
      </c>
      <c r="C14" s="110" t="s">
        <v>0</v>
      </c>
      <c r="D14" s="110"/>
      <c r="E14" s="119">
        <f>'C_D - Energy Charges'!$E$26*'C - Generation'!E8*10*2/12</f>
        <v>12707.884131871002</v>
      </c>
      <c r="F14" s="119">
        <f>'C_D - Energy Charges'!$E$26*'C - Generation'!F8*10*2/12</f>
        <v>12707.884131871002</v>
      </c>
      <c r="G14" s="119">
        <f>'C_D - Energy Charges'!$E$26*'C - Generation'!G8*10*2/12</f>
        <v>12707.884131871002</v>
      </c>
      <c r="H14" s="119">
        <f>'C_D - Energy Charges'!$E$26*'C - Generation'!H8*10*2/12</f>
        <v>12707.884131871002</v>
      </c>
      <c r="I14" s="119">
        <f>'C_D - Energy Charges'!$E$26*'C - Generation'!I8*10*2/12</f>
        <v>12707.884131871002</v>
      </c>
      <c r="J14" s="119">
        <f>'C_D - Energy Charges'!$E$26*'C - Generation'!J8*10*2/12</f>
        <v>12707.884131871002</v>
      </c>
      <c r="K14" s="119">
        <f>'C_D - Energy Charges'!$E$26*'C - Generation'!K8*10*2/12</f>
        <v>12707.884131871002</v>
      </c>
      <c r="L14" s="119">
        <f>'C_D - Energy Charges'!$E$26*'C - Generation'!L8*10*2/12</f>
        <v>12707.884131871002</v>
      </c>
      <c r="M14" s="119">
        <f>'C_D - Energy Charges'!$E$26*'C - Generation'!M8*10*2/12</f>
        <v>12707.884131871002</v>
      </c>
      <c r="N14" s="119">
        <f>'C_D - Energy Charges'!$E$26*'C - Generation'!N8*10*2/12</f>
        <v>12707.884131871002</v>
      </c>
      <c r="O14" s="119">
        <f>'C_D - Energy Charges'!$E$26*'C - Generation'!O8*10*2/12</f>
        <v>12707.884131871002</v>
      </c>
      <c r="P14" s="119">
        <f>'C_D - Energy Charges'!$E$26*'C - Generation'!P8*10*2/12</f>
        <v>12707.884131871002</v>
      </c>
      <c r="Q14" s="119">
        <f>'C_D - Energy Charges'!$E$26*'C - Generation'!Q8*10*2/12</f>
        <v>12707.884131871002</v>
      </c>
      <c r="R14" s="119">
        <f>'C_D - Energy Charges'!$E$26*'C - Generation'!R8*10*2/12</f>
        <v>12707.884131871002</v>
      </c>
      <c r="S14" s="119">
        <f>'C_D - Energy Charges'!$E$26*'C - Generation'!S8*10*2/12</f>
        <v>12707.884131871002</v>
      </c>
      <c r="T14" s="119">
        <f>'C_D - Energy Charges'!$E$26*'C - Generation'!T8*10*2/12</f>
        <v>12707.884131871002</v>
      </c>
      <c r="U14" s="119">
        <f>'C_D - Energy Charges'!$E$26*'C - Generation'!U8*10*2/12</f>
        <v>12707.884131871002</v>
      </c>
      <c r="V14" s="119">
        <f>'C_D - Energy Charges'!$E$26*'C - Generation'!V8*10*2/12</f>
        <v>12707.884131871002</v>
      </c>
      <c r="W14" s="119">
        <f>'C_D - Energy Charges'!$E$26*'C - Generation'!W8*10*2/12</f>
        <v>12707.884131871002</v>
      </c>
      <c r="X14" s="119">
        <f>'C_D - Energy Charges'!$E$26*'C - Generation'!X8*10*2/12</f>
        <v>12707.884131871002</v>
      </c>
      <c r="Y14" s="119">
        <f>'C_D - Energy Charges'!$E$26*'C - Generation'!Y8*10*2/12</f>
        <v>12707.884131871002</v>
      </c>
      <c r="Z14" s="119">
        <f>'C_D - Energy Charges'!$E$26*'C - Generation'!Z8*10*2/12</f>
        <v>12707.884131871002</v>
      </c>
      <c r="AA14" s="119">
        <f>'C_D - Energy Charges'!$E$26*'C - Generation'!AA8*10*2/12</f>
        <v>12707.884131871002</v>
      </c>
      <c r="AB14" s="119">
        <f>'C_D - Energy Charges'!$E$26*'C - Generation'!AB8*10*2/12</f>
        <v>12707.884131871002</v>
      </c>
      <c r="AC14" s="120">
        <f>'C_D - Energy Charges'!$E$26*'C - Generation'!AC8*10*2/12</f>
        <v>12707.884131871002</v>
      </c>
    </row>
    <row r="15" spans="2:29" s="2" customFormat="1" ht="15.75" thickBot="1" x14ac:dyDescent="0.3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</row>
    <row r="16" spans="2:29" s="2" customFormat="1" x14ac:dyDescent="0.25">
      <c r="B16" s="286" t="s">
        <v>225</v>
      </c>
      <c r="C16" s="287"/>
      <c r="D16" s="287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9"/>
    </row>
    <row r="17" spans="2:29" ht="15.75" thickBot="1" x14ac:dyDescent="0.3">
      <c r="B17" s="141" t="s">
        <v>227</v>
      </c>
      <c r="C17" s="110" t="s">
        <v>0</v>
      </c>
      <c r="D17" s="110"/>
      <c r="E17" s="119">
        <f>'C_DI - Energy Charges'!$E$12*(E6-(E3*'C - Assumptions'!E5))*10*2/12</f>
        <v>145.04166666666666</v>
      </c>
      <c r="F17" s="119">
        <f>E17</f>
        <v>145.04166666666666</v>
      </c>
      <c r="G17" s="119">
        <f t="shared" ref="G17:AC17" si="3">F17</f>
        <v>145.04166666666666</v>
      </c>
      <c r="H17" s="119">
        <f t="shared" si="3"/>
        <v>145.04166666666666</v>
      </c>
      <c r="I17" s="119">
        <f t="shared" si="3"/>
        <v>145.04166666666666</v>
      </c>
      <c r="J17" s="119">
        <f t="shared" si="3"/>
        <v>145.04166666666666</v>
      </c>
      <c r="K17" s="119">
        <f t="shared" si="3"/>
        <v>145.04166666666666</v>
      </c>
      <c r="L17" s="119">
        <f t="shared" si="3"/>
        <v>145.04166666666666</v>
      </c>
      <c r="M17" s="119">
        <f t="shared" si="3"/>
        <v>145.04166666666666</v>
      </c>
      <c r="N17" s="119">
        <f t="shared" si="3"/>
        <v>145.04166666666666</v>
      </c>
      <c r="O17" s="119">
        <f t="shared" si="3"/>
        <v>145.04166666666666</v>
      </c>
      <c r="P17" s="119">
        <f t="shared" si="3"/>
        <v>145.04166666666666</v>
      </c>
      <c r="Q17" s="119">
        <f t="shared" si="3"/>
        <v>145.04166666666666</v>
      </c>
      <c r="R17" s="119">
        <f t="shared" si="3"/>
        <v>145.04166666666666</v>
      </c>
      <c r="S17" s="119">
        <f t="shared" si="3"/>
        <v>145.04166666666666</v>
      </c>
      <c r="T17" s="119">
        <f t="shared" si="3"/>
        <v>145.04166666666666</v>
      </c>
      <c r="U17" s="119">
        <f t="shared" si="3"/>
        <v>145.04166666666666</v>
      </c>
      <c r="V17" s="119">
        <f t="shared" si="3"/>
        <v>145.04166666666666</v>
      </c>
      <c r="W17" s="119">
        <f t="shared" si="3"/>
        <v>145.04166666666666</v>
      </c>
      <c r="X17" s="119">
        <f t="shared" si="3"/>
        <v>145.04166666666666</v>
      </c>
      <c r="Y17" s="119">
        <f t="shared" si="3"/>
        <v>145.04166666666666</v>
      </c>
      <c r="Z17" s="119">
        <f t="shared" si="3"/>
        <v>145.04166666666666</v>
      </c>
      <c r="AA17" s="119">
        <f t="shared" si="3"/>
        <v>145.04166666666666</v>
      </c>
      <c r="AB17" s="119">
        <f t="shared" si="3"/>
        <v>145.04166666666666</v>
      </c>
      <c r="AC17" s="120">
        <f t="shared" si="3"/>
        <v>145.04166666666666</v>
      </c>
    </row>
    <row r="18" spans="2:29" ht="15.75" thickBot="1" x14ac:dyDescent="0.3"/>
    <row r="19" spans="2:29" x14ac:dyDescent="0.25">
      <c r="B19" s="286" t="s">
        <v>226</v>
      </c>
      <c r="C19" s="287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9"/>
    </row>
    <row r="20" spans="2:29" ht="15.75" thickBot="1" x14ac:dyDescent="0.3">
      <c r="B20" s="141" t="s">
        <v>227</v>
      </c>
      <c r="C20" s="110" t="s">
        <v>0</v>
      </c>
      <c r="D20" s="110"/>
      <c r="E20" s="119">
        <f>'C_DI - Energy Charges'!$E$26*(E6-(E3*'C - Assumptions'!F5))*10*2/12</f>
        <v>0</v>
      </c>
      <c r="F20" s="119">
        <f>E20</f>
        <v>0</v>
      </c>
      <c r="G20" s="119">
        <f t="shared" ref="G20:AC20" si="4">F20</f>
        <v>0</v>
      </c>
      <c r="H20" s="119">
        <f t="shared" si="4"/>
        <v>0</v>
      </c>
      <c r="I20" s="119">
        <f t="shared" si="4"/>
        <v>0</v>
      </c>
      <c r="J20" s="119">
        <f t="shared" si="4"/>
        <v>0</v>
      </c>
      <c r="K20" s="119">
        <f t="shared" si="4"/>
        <v>0</v>
      </c>
      <c r="L20" s="119">
        <f t="shared" si="4"/>
        <v>0</v>
      </c>
      <c r="M20" s="119">
        <f t="shared" si="4"/>
        <v>0</v>
      </c>
      <c r="N20" s="119">
        <f t="shared" si="4"/>
        <v>0</v>
      </c>
      <c r="O20" s="119">
        <f t="shared" si="4"/>
        <v>0</v>
      </c>
      <c r="P20" s="119">
        <f t="shared" si="4"/>
        <v>0</v>
      </c>
      <c r="Q20" s="119">
        <f t="shared" si="4"/>
        <v>0</v>
      </c>
      <c r="R20" s="119">
        <f t="shared" si="4"/>
        <v>0</v>
      </c>
      <c r="S20" s="119">
        <f t="shared" si="4"/>
        <v>0</v>
      </c>
      <c r="T20" s="119">
        <f t="shared" si="4"/>
        <v>0</v>
      </c>
      <c r="U20" s="119">
        <f t="shared" si="4"/>
        <v>0</v>
      </c>
      <c r="V20" s="119">
        <f t="shared" si="4"/>
        <v>0</v>
      </c>
      <c r="W20" s="119">
        <f t="shared" si="4"/>
        <v>0</v>
      </c>
      <c r="X20" s="119">
        <f t="shared" si="4"/>
        <v>0</v>
      </c>
      <c r="Y20" s="119">
        <f t="shared" si="4"/>
        <v>0</v>
      </c>
      <c r="Z20" s="119">
        <f t="shared" si="4"/>
        <v>0</v>
      </c>
      <c r="AA20" s="119">
        <f t="shared" si="4"/>
        <v>0</v>
      </c>
      <c r="AB20" s="119">
        <f t="shared" si="4"/>
        <v>0</v>
      </c>
      <c r="AC20" s="120">
        <f t="shared" si="4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E7D7-F0DA-49F1-8923-AE14C7ED7751}">
  <sheetPr>
    <tabColor theme="3" tint="-0.249977111117893"/>
  </sheetPr>
  <dimension ref="B2:E13"/>
  <sheetViews>
    <sheetView workbookViewId="0">
      <selection activeCell="W32" sqref="W32"/>
    </sheetView>
  </sheetViews>
  <sheetFormatPr defaultRowHeight="15" x14ac:dyDescent="0.25"/>
  <cols>
    <col min="2" max="2" width="24.28515625" bestFit="1" customWidth="1"/>
    <col min="3" max="3" width="8.28515625" bestFit="1" customWidth="1"/>
    <col min="4" max="4" width="12" bestFit="1" customWidth="1"/>
    <col min="5" max="5" width="19.140625" bestFit="1" customWidth="1"/>
  </cols>
  <sheetData>
    <row r="2" spans="2:5" x14ac:dyDescent="0.25">
      <c r="B2" s="2" t="s">
        <v>182</v>
      </c>
      <c r="C2" s="2"/>
      <c r="D2" s="2"/>
      <c r="E2" s="2"/>
    </row>
    <row r="3" spans="2:5" x14ac:dyDescent="0.25">
      <c r="C3" s="2" t="s">
        <v>22</v>
      </c>
      <c r="D3" s="2" t="s">
        <v>183</v>
      </c>
      <c r="E3" s="2" t="s">
        <v>184</v>
      </c>
    </row>
    <row r="4" spans="2:5" x14ac:dyDescent="0.25">
      <c r="B4" t="s">
        <v>185</v>
      </c>
      <c r="C4">
        <v>1000</v>
      </c>
      <c r="D4" t="s">
        <v>186</v>
      </c>
      <c r="E4">
        <v>5.52</v>
      </c>
    </row>
    <row r="5" spans="2:5" x14ac:dyDescent="0.25">
      <c r="B5" t="s">
        <v>187</v>
      </c>
      <c r="C5">
        <v>1000</v>
      </c>
      <c r="D5" t="s">
        <v>186</v>
      </c>
      <c r="E5">
        <v>4.4800000000000004</v>
      </c>
    </row>
    <row r="6" spans="2:5" x14ac:dyDescent="0.25">
      <c r="B6" t="s">
        <v>188</v>
      </c>
      <c r="C6">
        <v>1500</v>
      </c>
      <c r="D6" t="s">
        <v>189</v>
      </c>
      <c r="E6">
        <v>5.0199999999999996</v>
      </c>
    </row>
    <row r="7" spans="2:5" x14ac:dyDescent="0.25">
      <c r="B7" t="s">
        <v>190</v>
      </c>
      <c r="C7">
        <v>1000</v>
      </c>
      <c r="D7" t="s">
        <v>186</v>
      </c>
      <c r="E7">
        <v>4.68</v>
      </c>
    </row>
    <row r="8" spans="2:5" x14ac:dyDescent="0.25">
      <c r="B8" t="s">
        <v>191</v>
      </c>
      <c r="C8">
        <v>1200</v>
      </c>
      <c r="D8" t="s">
        <v>192</v>
      </c>
      <c r="E8">
        <v>4.3899999999999997</v>
      </c>
    </row>
    <row r="9" spans="2:5" x14ac:dyDescent="0.25">
      <c r="B9" t="s">
        <v>193</v>
      </c>
      <c r="C9">
        <v>1500</v>
      </c>
      <c r="D9" t="s">
        <v>189</v>
      </c>
      <c r="E9">
        <v>4.3099999999999996</v>
      </c>
    </row>
    <row r="10" spans="2:5" x14ac:dyDescent="0.25">
      <c r="B10" t="s">
        <v>194</v>
      </c>
      <c r="C10">
        <v>1200</v>
      </c>
      <c r="D10" t="s">
        <v>195</v>
      </c>
      <c r="E10">
        <v>4.1500000000000004</v>
      </c>
    </row>
    <row r="11" spans="2:5" x14ac:dyDescent="0.25">
      <c r="E11" s="200">
        <f>AVERAGE(E4:E10)</f>
        <v>4.6499999999999995</v>
      </c>
    </row>
    <row r="13" spans="2:5" x14ac:dyDescent="0.25">
      <c r="B13" s="360" t="s">
        <v>376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2C4C-6153-48F6-896D-9F911CAAA462}">
  <dimension ref="B2:C8"/>
  <sheetViews>
    <sheetView topLeftCell="F1" workbookViewId="0">
      <selection activeCell="F9" sqref="F9"/>
    </sheetView>
  </sheetViews>
  <sheetFormatPr defaultRowHeight="15" x14ac:dyDescent="0.25"/>
  <sheetData>
    <row r="2" spans="2:3" x14ac:dyDescent="0.25">
      <c r="B2" s="55"/>
      <c r="C2" s="55" t="s">
        <v>210</v>
      </c>
    </row>
    <row r="3" spans="2:3" x14ac:dyDescent="0.25">
      <c r="B3" s="55" t="s">
        <v>211</v>
      </c>
      <c r="C3" s="115">
        <v>1.65299611331024E-2</v>
      </c>
    </row>
    <row r="4" spans="2:3" x14ac:dyDescent="0.25">
      <c r="B4" s="55" t="s">
        <v>60</v>
      </c>
      <c r="C4" s="115">
        <v>1.63540053412181E-2</v>
      </c>
    </row>
    <row r="5" spans="2:3" x14ac:dyDescent="0.25">
      <c r="B5" s="55" t="s">
        <v>61</v>
      </c>
      <c r="C5" s="115">
        <v>1.52762480312735E-2</v>
      </c>
    </row>
    <row r="6" spans="2:3" x14ac:dyDescent="0.25">
      <c r="B6" s="55" t="s">
        <v>57</v>
      </c>
      <c r="C6" s="115">
        <v>1.4905439889342001E-2</v>
      </c>
    </row>
    <row r="7" spans="2:3" x14ac:dyDescent="0.25">
      <c r="B7" s="55" t="s">
        <v>58</v>
      </c>
      <c r="C7" s="115">
        <v>1.5516527960925033E-2</v>
      </c>
    </row>
    <row r="8" spans="2:3" x14ac:dyDescent="0.25">
      <c r="C8" s="360" t="s">
        <v>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ADF2-F7DD-445F-B365-BB0817FA7685}">
  <sheetPr>
    <tabColor rgb="FFFFFF00"/>
  </sheetPr>
  <dimension ref="A1:AR52"/>
  <sheetViews>
    <sheetView workbookViewId="0">
      <selection activeCell="F44" sqref="F44"/>
    </sheetView>
  </sheetViews>
  <sheetFormatPr defaultRowHeight="15" x14ac:dyDescent="0.25"/>
  <cols>
    <col min="2" max="2" width="43.28515625" bestFit="1" customWidth="1"/>
    <col min="6" max="6" width="31.140625" bestFit="1" customWidth="1"/>
    <col min="7" max="7" width="14.140625" style="12" bestFit="1" customWidth="1"/>
    <col min="8" max="9" width="9.28515625" customWidth="1"/>
    <col min="34" max="34" width="20.28515625" bestFit="1" customWidth="1"/>
  </cols>
  <sheetData>
    <row r="1" spans="1:44" ht="15.75" thickBot="1" x14ac:dyDescent="0.3"/>
    <row r="2" spans="1:44" ht="15.75" thickBot="1" x14ac:dyDescent="0.3">
      <c r="B2" s="451" t="s">
        <v>307</v>
      </c>
      <c r="C2" s="450">
        <v>1</v>
      </c>
    </row>
    <row r="3" spans="1:44" ht="45.75" thickBot="1" x14ac:dyDescent="0.3">
      <c r="B3" s="451" t="s">
        <v>306</v>
      </c>
      <c r="C3" s="450">
        <v>1797552</v>
      </c>
      <c r="F3" s="449" t="s">
        <v>242</v>
      </c>
      <c r="G3" s="448" t="s">
        <v>381</v>
      </c>
      <c r="H3" s="447" t="s">
        <v>239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75" thickBot="1" x14ac:dyDescent="0.3">
      <c r="B4" s="446" t="s">
        <v>305</v>
      </c>
      <c r="C4" s="445">
        <v>0.20519999999999999</v>
      </c>
      <c r="F4" s="13" t="s">
        <v>304</v>
      </c>
      <c r="G4" s="444">
        <f t="shared" ref="G4:G9" si="0">AH27</f>
        <v>0.45041692299676039</v>
      </c>
      <c r="H4" s="443">
        <f t="shared" ref="H4:H9" ca="1" si="1">G4/$G$12</f>
        <v>0.16438573831998554</v>
      </c>
    </row>
    <row r="5" spans="1:44" x14ac:dyDescent="0.25">
      <c r="B5" s="442" t="s">
        <v>303</v>
      </c>
      <c r="C5" s="441"/>
      <c r="F5" s="16" t="s">
        <v>236</v>
      </c>
      <c r="G5" s="436">
        <f t="shared" si="0"/>
        <v>0.47501876248414049</v>
      </c>
      <c r="H5" s="434">
        <f t="shared" ca="1" si="1"/>
        <v>0.1733645118555257</v>
      </c>
    </row>
    <row r="6" spans="1:44" x14ac:dyDescent="0.25">
      <c r="B6" s="396" t="s">
        <v>236</v>
      </c>
      <c r="C6" s="440">
        <f>'S - Solar Park Model'!C4</f>
        <v>189</v>
      </c>
      <c r="F6" s="16" t="s">
        <v>234</v>
      </c>
      <c r="G6" s="436">
        <f t="shared" si="0"/>
        <v>0.37391304512064127</v>
      </c>
      <c r="H6" s="434">
        <f t="shared" ca="1" si="1"/>
        <v>0.13646461500753329</v>
      </c>
    </row>
    <row r="7" spans="1:44" x14ac:dyDescent="0.25">
      <c r="B7" s="396" t="s">
        <v>234</v>
      </c>
      <c r="C7" s="439">
        <f>'S - Solar Park Model'!C5</f>
        <v>57.499999999999993</v>
      </c>
      <c r="F7" s="16" t="s">
        <v>233</v>
      </c>
      <c r="G7" s="436">
        <f t="shared" si="0"/>
        <v>0.23072339892086827</v>
      </c>
      <c r="H7" s="434">
        <f t="shared" ca="1" si="1"/>
        <v>8.42056200441125E-2</v>
      </c>
    </row>
    <row r="8" spans="1:44" x14ac:dyDescent="0.25">
      <c r="B8" s="396" t="s">
        <v>233</v>
      </c>
      <c r="C8" s="439">
        <f>'S - Solar Park Model'!C6</f>
        <v>91.8</v>
      </c>
      <c r="F8" s="16" t="s">
        <v>229</v>
      </c>
      <c r="G8" s="436">
        <f t="shared" si="0"/>
        <v>0.52696111155616088</v>
      </c>
      <c r="H8" s="434">
        <f t="shared" ca="1" si="1"/>
        <v>0.19232157356064264</v>
      </c>
    </row>
    <row r="9" spans="1:44" ht="15.75" thickBot="1" x14ac:dyDescent="0.3">
      <c r="B9" s="438" t="s">
        <v>13</v>
      </c>
      <c r="C9" s="437">
        <f>SUM(C6:C8)</f>
        <v>338.3</v>
      </c>
      <c r="F9" s="16" t="s">
        <v>230</v>
      </c>
      <c r="G9" s="436">
        <f t="shared" ca="1" si="0"/>
        <v>0.91040227929863515</v>
      </c>
      <c r="H9" s="434">
        <f t="shared" ca="1" si="1"/>
        <v>0.33226360558344348</v>
      </c>
    </row>
    <row r="10" spans="1:44" ht="15.75" thickBot="1" x14ac:dyDescent="0.3">
      <c r="B10" s="394" t="s">
        <v>302</v>
      </c>
      <c r="C10" s="435">
        <f>SUM(H18:AF18)</f>
        <v>90.187075815306557</v>
      </c>
      <c r="F10" s="18" t="s">
        <v>13</v>
      </c>
      <c r="G10" s="380">
        <f ca="1">SUM(G4:G9)</f>
        <v>2.9674355203772067</v>
      </c>
      <c r="H10" s="434"/>
    </row>
    <row r="11" spans="1:44" ht="15.75" thickBot="1" x14ac:dyDescent="0.3">
      <c r="B11" s="433" t="s">
        <v>301</v>
      </c>
      <c r="C11" s="432">
        <f>SUM(C9:C10)</f>
        <v>428.48707581530658</v>
      </c>
      <c r="F11" s="20" t="s">
        <v>300</v>
      </c>
      <c r="G11" s="431">
        <f>-AH43</f>
        <v>-0.21859984798208626</v>
      </c>
      <c r="H11" s="430">
        <f ca="1">G11/$G$12</f>
        <v>-7.9780966416819796E-2</v>
      </c>
    </row>
    <row r="12" spans="1:44" ht="15.75" thickBot="1" x14ac:dyDescent="0.3">
      <c r="F12" s="429" t="s">
        <v>299</v>
      </c>
      <c r="G12" s="428">
        <f ca="1">ROUNDDOWN(SUM(G10:G11),2)</f>
        <v>2.74</v>
      </c>
      <c r="H12" s="316"/>
    </row>
    <row r="13" spans="1:44" x14ac:dyDescent="0.25">
      <c r="H13" s="316"/>
    </row>
    <row r="14" spans="1:44" ht="15.75" thickBot="1" x14ac:dyDescent="0.3">
      <c r="G14" s="32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4" ht="15.75" thickBot="1" x14ac:dyDescent="0.3">
      <c r="F15" s="427"/>
      <c r="G15" s="390" t="s">
        <v>1</v>
      </c>
      <c r="H15" s="374">
        <v>1</v>
      </c>
      <c r="I15" s="373">
        <v>2</v>
      </c>
      <c r="J15" s="373">
        <v>3</v>
      </c>
      <c r="K15" s="373">
        <v>4</v>
      </c>
      <c r="L15" s="373">
        <v>5</v>
      </c>
      <c r="M15" s="373">
        <v>6</v>
      </c>
      <c r="N15" s="373">
        <v>7</v>
      </c>
      <c r="O15" s="373">
        <v>8</v>
      </c>
      <c r="P15" s="373">
        <v>9</v>
      </c>
      <c r="Q15" s="373">
        <v>10</v>
      </c>
      <c r="R15" s="373">
        <v>11</v>
      </c>
      <c r="S15" s="373">
        <v>12</v>
      </c>
      <c r="T15" s="373">
        <v>13</v>
      </c>
      <c r="U15" s="373">
        <v>14</v>
      </c>
      <c r="V15" s="373">
        <v>15</v>
      </c>
      <c r="W15" s="373">
        <v>16</v>
      </c>
      <c r="X15" s="373">
        <v>17</v>
      </c>
      <c r="Y15" s="373">
        <v>18</v>
      </c>
      <c r="Z15" s="373">
        <v>19</v>
      </c>
      <c r="AA15" s="373">
        <v>20</v>
      </c>
      <c r="AB15" s="373">
        <v>21</v>
      </c>
      <c r="AC15" s="373">
        <v>22</v>
      </c>
      <c r="AD15" s="373">
        <v>23</v>
      </c>
      <c r="AE15" s="373">
        <v>24</v>
      </c>
      <c r="AF15" s="372">
        <v>25</v>
      </c>
    </row>
    <row r="16" spans="1:44" x14ac:dyDescent="0.25">
      <c r="A16" s="549" t="s">
        <v>33</v>
      </c>
      <c r="B16" s="352" t="s">
        <v>298</v>
      </c>
      <c r="C16" s="426">
        <v>0.8</v>
      </c>
      <c r="D16" s="106"/>
      <c r="F16" s="425" t="s">
        <v>83</v>
      </c>
      <c r="G16" s="424"/>
      <c r="H16" s="423">
        <f>1+C23</f>
        <v>1.0750808000000001</v>
      </c>
      <c r="I16" s="213">
        <f>H16^2</f>
        <v>1.15579872652864</v>
      </c>
      <c r="J16" s="213">
        <f t="shared" ref="J16:AF16" si="2">$I$16*H16</f>
        <v>1.2425770195553916</v>
      </c>
      <c r="K16" s="213">
        <f t="shared" si="2"/>
        <v>1.335870696245226</v>
      </c>
      <c r="L16" s="213">
        <f t="shared" si="2"/>
        <v>1.4361689368158745</v>
      </c>
      <c r="M16" s="213">
        <f t="shared" si="2"/>
        <v>1.5439976495271599</v>
      </c>
      <c r="N16" s="213">
        <f t="shared" si="2"/>
        <v>1.6599222282517787</v>
      </c>
      <c r="O16" s="213">
        <f t="shared" si="2"/>
        <v>1.7845505170867049</v>
      </c>
      <c r="P16" s="213">
        <f t="shared" si="2"/>
        <v>1.9185359975499883</v>
      </c>
      <c r="Q16" s="213">
        <f t="shared" si="2"/>
        <v>2.0625812150748395</v>
      </c>
      <c r="R16" s="213">
        <f t="shared" si="2"/>
        <v>2.2174414627676304</v>
      </c>
      <c r="S16" s="213">
        <f t="shared" si="2"/>
        <v>2.3839287417453945</v>
      </c>
      <c r="T16" s="213">
        <f t="shared" si="2"/>
        <v>2.562916018818632</v>
      </c>
      <c r="U16" s="213">
        <f t="shared" si="2"/>
        <v>2.7553418038443502</v>
      </c>
      <c r="V16" s="213">
        <f t="shared" si="2"/>
        <v>2.9622150707504269</v>
      </c>
      <c r="W16" s="213">
        <f t="shared" si="2"/>
        <v>3.1846205480344261</v>
      </c>
      <c r="X16" s="213">
        <f t="shared" si="2"/>
        <v>3.4237244064772887</v>
      </c>
      <c r="Y16" s="213">
        <f t="shared" si="2"/>
        <v>3.6807803738951295</v>
      </c>
      <c r="Z16" s="213">
        <f t="shared" si="2"/>
        <v>3.9571363089914739</v>
      </c>
      <c r="AA16" s="213">
        <f t="shared" si="2"/>
        <v>4.2542412687796025</v>
      </c>
      <c r="AB16" s="213">
        <f t="shared" si="2"/>
        <v>4.5736531066325883</v>
      </c>
      <c r="AC16" s="213">
        <f t="shared" si="2"/>
        <v>4.9170466408010505</v>
      </c>
      <c r="AD16" s="213">
        <f t="shared" si="2"/>
        <v>5.2862224362297034</v>
      </c>
      <c r="AE16" s="213">
        <f t="shared" si="2"/>
        <v>5.6831162457197815</v>
      </c>
      <c r="AF16" s="192">
        <f t="shared" si="2"/>
        <v>6.1098091599414159</v>
      </c>
      <c r="AG16" s="2"/>
      <c r="AH16" s="2"/>
    </row>
    <row r="17" spans="1:34" x14ac:dyDescent="0.25">
      <c r="A17" s="550"/>
      <c r="B17" s="3" t="s">
        <v>297</v>
      </c>
      <c r="C17" s="421">
        <v>0.09</v>
      </c>
      <c r="D17" s="106"/>
      <c r="F17" s="404" t="s">
        <v>296</v>
      </c>
      <c r="G17" s="403" t="s">
        <v>0</v>
      </c>
      <c r="H17" s="381">
        <f>C9*1.5%</f>
        <v>5.0744999999999996</v>
      </c>
      <c r="I17" s="63">
        <f t="shared" ref="I17:AF17" si="3">H17*1.05</f>
        <v>5.3282249999999998</v>
      </c>
      <c r="J17" s="63">
        <f t="shared" si="3"/>
        <v>5.5946362499999998</v>
      </c>
      <c r="K17" s="63">
        <f t="shared" si="3"/>
        <v>5.8743680625000003</v>
      </c>
      <c r="L17" s="63">
        <f t="shared" si="3"/>
        <v>6.1680864656250005</v>
      </c>
      <c r="M17" s="63">
        <f t="shared" si="3"/>
        <v>6.4764907889062506</v>
      </c>
      <c r="N17" s="63">
        <f t="shared" si="3"/>
        <v>6.8003153283515632</v>
      </c>
      <c r="O17" s="63">
        <f t="shared" si="3"/>
        <v>7.1403310947691416</v>
      </c>
      <c r="P17" s="63">
        <f t="shared" si="3"/>
        <v>7.4973476495075992</v>
      </c>
      <c r="Q17" s="63">
        <f t="shared" si="3"/>
        <v>7.8722150319829796</v>
      </c>
      <c r="R17" s="63">
        <f t="shared" si="3"/>
        <v>8.2658257835821285</v>
      </c>
      <c r="S17" s="63">
        <f t="shared" si="3"/>
        <v>8.679117072761235</v>
      </c>
      <c r="T17" s="63">
        <f t="shared" si="3"/>
        <v>9.1130729263992976</v>
      </c>
      <c r="U17" s="63">
        <f t="shared" si="3"/>
        <v>9.5687265727192621</v>
      </c>
      <c r="V17" s="63">
        <f t="shared" si="3"/>
        <v>10.047162901355225</v>
      </c>
      <c r="W17" s="63">
        <f t="shared" si="3"/>
        <v>10.549521046422987</v>
      </c>
      <c r="X17" s="63">
        <f t="shared" si="3"/>
        <v>11.076997098744137</v>
      </c>
      <c r="Y17" s="63">
        <f t="shared" si="3"/>
        <v>11.630846953681344</v>
      </c>
      <c r="Z17" s="63">
        <f t="shared" si="3"/>
        <v>12.212389301365411</v>
      </c>
      <c r="AA17" s="63">
        <f t="shared" si="3"/>
        <v>12.823008766433682</v>
      </c>
      <c r="AB17" s="63">
        <f t="shared" si="3"/>
        <v>13.464159204755367</v>
      </c>
      <c r="AC17" s="63">
        <f t="shared" si="3"/>
        <v>14.137367164993135</v>
      </c>
      <c r="AD17" s="63">
        <f t="shared" si="3"/>
        <v>14.844235523242792</v>
      </c>
      <c r="AE17" s="63">
        <f t="shared" si="3"/>
        <v>15.586447299404933</v>
      </c>
      <c r="AF17" s="67">
        <f t="shared" si="3"/>
        <v>16.365769664375179</v>
      </c>
    </row>
    <row r="18" spans="1:34" ht="15.75" thickBot="1" x14ac:dyDescent="0.3">
      <c r="A18" s="551"/>
      <c r="B18" s="5" t="s">
        <v>295</v>
      </c>
      <c r="C18" s="60">
        <f>C16*C9</f>
        <v>270.64000000000004</v>
      </c>
      <c r="F18" s="404" t="s">
        <v>294</v>
      </c>
      <c r="G18" s="403" t="s">
        <v>0</v>
      </c>
      <c r="H18" s="381">
        <f t="shared" ref="H18:AF18" si="4">H17/H16</f>
        <v>4.7201103396135426</v>
      </c>
      <c r="I18" s="63">
        <f t="shared" si="4"/>
        <v>4.6099938317140632</v>
      </c>
      <c r="J18" s="63">
        <f t="shared" si="4"/>
        <v>4.5024462564113934</v>
      </c>
      <c r="K18" s="63">
        <f t="shared" si="4"/>
        <v>4.3974076825034576</v>
      </c>
      <c r="L18" s="63">
        <f t="shared" si="4"/>
        <v>4.2948195769365718</v>
      </c>
      <c r="M18" s="63">
        <f t="shared" si="4"/>
        <v>4.1946247721877281</v>
      </c>
      <c r="N18" s="63">
        <f t="shared" si="4"/>
        <v>4.0967674344078269</v>
      </c>
      <c r="O18" s="63">
        <f t="shared" si="4"/>
        <v>4.0011930323081009</v>
      </c>
      <c r="P18" s="63">
        <f t="shared" si="4"/>
        <v>3.9078483067723897</v>
      </c>
      <c r="Q18" s="63">
        <f t="shared" si="4"/>
        <v>3.8166812411783462</v>
      </c>
      <c r="R18" s="63">
        <f t="shared" si="4"/>
        <v>3.7276410324110181</v>
      </c>
      <c r="S18" s="63">
        <f t="shared" si="4"/>
        <v>3.6406780625526647</v>
      </c>
      <c r="T18" s="63">
        <f t="shared" si="4"/>
        <v>3.5557438712330263</v>
      </c>
      <c r="U18" s="63">
        <f t="shared" si="4"/>
        <v>3.4727911286246362</v>
      </c>
      <c r="V18" s="63">
        <f t="shared" si="4"/>
        <v>3.391773609068145</v>
      </c>
      <c r="W18" s="63">
        <f t="shared" si="4"/>
        <v>3.3126461653129247</v>
      </c>
      <c r="X18" s="63">
        <f t="shared" si="4"/>
        <v>3.2353647033586421</v>
      </c>
      <c r="Y18" s="63">
        <f t="shared" si="4"/>
        <v>3.1598861578837365</v>
      </c>
      <c r="Z18" s="63">
        <f t="shared" si="4"/>
        <v>3.0861684682471533</v>
      </c>
      <c r="AA18" s="63">
        <f t="shared" si="4"/>
        <v>3.014170555049918</v>
      </c>
      <c r="AB18" s="63">
        <f t="shared" si="4"/>
        <v>2.943852297243533</v>
      </c>
      <c r="AC18" s="63">
        <f t="shared" si="4"/>
        <v>2.8751745097723895</v>
      </c>
      <c r="AD18" s="63">
        <f t="shared" si="4"/>
        <v>2.8080989217377992</v>
      </c>
      <c r="AE18" s="63">
        <f t="shared" si="4"/>
        <v>2.7425881550714029</v>
      </c>
      <c r="AF18" s="67">
        <f t="shared" si="4"/>
        <v>2.6786057037061535</v>
      </c>
      <c r="AG18" s="422"/>
    </row>
    <row r="19" spans="1:34" x14ac:dyDescent="0.25">
      <c r="A19" s="550" t="s">
        <v>34</v>
      </c>
      <c r="B19" s="3" t="s">
        <v>293</v>
      </c>
      <c r="C19" s="421">
        <v>0.2</v>
      </c>
      <c r="D19" s="106"/>
      <c r="F19" s="404" t="s">
        <v>292</v>
      </c>
      <c r="G19" s="403" t="s">
        <v>0</v>
      </c>
      <c r="H19" s="381">
        <f t="shared" ref="H19:S19" si="5">$C$6*$C$24</f>
        <v>11.018699999999999</v>
      </c>
      <c r="I19" s="63">
        <f t="shared" si="5"/>
        <v>11.018699999999999</v>
      </c>
      <c r="J19" s="63">
        <f t="shared" si="5"/>
        <v>11.018699999999999</v>
      </c>
      <c r="K19" s="63">
        <f t="shared" si="5"/>
        <v>11.018699999999999</v>
      </c>
      <c r="L19" s="63">
        <f t="shared" si="5"/>
        <v>11.018699999999999</v>
      </c>
      <c r="M19" s="63">
        <f t="shared" si="5"/>
        <v>11.018699999999999</v>
      </c>
      <c r="N19" s="63">
        <f t="shared" si="5"/>
        <v>11.018699999999999</v>
      </c>
      <c r="O19" s="63">
        <f t="shared" si="5"/>
        <v>11.018699999999999</v>
      </c>
      <c r="P19" s="63">
        <f t="shared" si="5"/>
        <v>11.018699999999999</v>
      </c>
      <c r="Q19" s="63">
        <f t="shared" si="5"/>
        <v>11.018699999999999</v>
      </c>
      <c r="R19" s="63">
        <f t="shared" si="5"/>
        <v>11.018699999999999</v>
      </c>
      <c r="S19" s="63">
        <f t="shared" si="5"/>
        <v>11.018699999999999</v>
      </c>
      <c r="T19" s="63">
        <f t="shared" ref="T19:AF19" si="6">$C$6*$C$25</f>
        <v>2.9106000000000001</v>
      </c>
      <c r="U19" s="63">
        <f t="shared" si="6"/>
        <v>2.9106000000000001</v>
      </c>
      <c r="V19" s="63">
        <f t="shared" si="6"/>
        <v>2.9106000000000001</v>
      </c>
      <c r="W19" s="63">
        <f t="shared" si="6"/>
        <v>2.9106000000000001</v>
      </c>
      <c r="X19" s="63">
        <f t="shared" si="6"/>
        <v>2.9106000000000001</v>
      </c>
      <c r="Y19" s="63">
        <f t="shared" si="6"/>
        <v>2.9106000000000001</v>
      </c>
      <c r="Z19" s="63">
        <f t="shared" si="6"/>
        <v>2.9106000000000001</v>
      </c>
      <c r="AA19" s="63">
        <f t="shared" si="6"/>
        <v>2.9106000000000001</v>
      </c>
      <c r="AB19" s="63">
        <f t="shared" si="6"/>
        <v>2.9106000000000001</v>
      </c>
      <c r="AC19" s="63">
        <f t="shared" si="6"/>
        <v>2.9106000000000001</v>
      </c>
      <c r="AD19" s="63">
        <f t="shared" si="6"/>
        <v>2.9106000000000001</v>
      </c>
      <c r="AE19" s="63">
        <f t="shared" si="6"/>
        <v>2.9106000000000001</v>
      </c>
      <c r="AF19" s="67">
        <f t="shared" si="6"/>
        <v>2.9106000000000001</v>
      </c>
      <c r="AG19" s="422"/>
    </row>
    <row r="20" spans="1:34" x14ac:dyDescent="0.25">
      <c r="A20" s="550"/>
      <c r="B20" s="3" t="s">
        <v>291</v>
      </c>
      <c r="C20" s="421">
        <v>0.14000000000000001</v>
      </c>
      <c r="D20" s="106"/>
      <c r="F20" s="404" t="s">
        <v>290</v>
      </c>
      <c r="G20" s="403" t="s">
        <v>0</v>
      </c>
      <c r="H20" s="381">
        <f t="shared" ref="H20:S20" si="7">$C$7*$C$24+H52</f>
        <v>5.6642299999999999</v>
      </c>
      <c r="I20" s="70">
        <f t="shared" si="7"/>
        <v>5.7649439999999998</v>
      </c>
      <c r="J20" s="70">
        <f t="shared" si="7"/>
        <v>5.8909713999999997</v>
      </c>
      <c r="K20" s="70">
        <f t="shared" si="7"/>
        <v>6.0128353399999996</v>
      </c>
      <c r="L20" s="70">
        <f t="shared" si="7"/>
        <v>6.146885674</v>
      </c>
      <c r="M20" s="70">
        <f t="shared" si="7"/>
        <v>6.2943410413999992</v>
      </c>
      <c r="N20" s="70">
        <f t="shared" si="7"/>
        <v>6.4565419455399997</v>
      </c>
      <c r="O20" s="70">
        <f t="shared" si="7"/>
        <v>6.6349629400940007</v>
      </c>
      <c r="P20" s="70">
        <f t="shared" si="7"/>
        <v>6.8312260341034001</v>
      </c>
      <c r="Q20" s="70">
        <f t="shared" si="7"/>
        <v>7.0471154375137406</v>
      </c>
      <c r="R20" s="70">
        <f t="shared" si="7"/>
        <v>7.2845937812651158</v>
      </c>
      <c r="S20" s="70">
        <f t="shared" si="7"/>
        <v>7.5458199593916273</v>
      </c>
      <c r="T20" s="70">
        <f t="shared" ref="T20:AF20" si="8">$C$7*$C$25+T52</f>
        <v>5.3664187553307912</v>
      </c>
      <c r="U20" s="70">
        <f t="shared" si="8"/>
        <v>5.6825024308638703</v>
      </c>
      <c r="V20" s="70">
        <f t="shared" si="8"/>
        <v>6.0301944739502584</v>
      </c>
      <c r="W20" s="70">
        <f t="shared" si="8"/>
        <v>6.4126557213452848</v>
      </c>
      <c r="X20" s="70">
        <f t="shared" si="8"/>
        <v>6.8333630934798126</v>
      </c>
      <c r="Y20" s="70">
        <f t="shared" si="8"/>
        <v>7.2961412028277941</v>
      </c>
      <c r="Z20" s="70">
        <f t="shared" si="8"/>
        <v>7.8051971231105739</v>
      </c>
      <c r="AA20" s="70">
        <f t="shared" si="8"/>
        <v>8.3651586354216327</v>
      </c>
      <c r="AB20" s="70">
        <f t="shared" si="8"/>
        <v>8.981116298963796</v>
      </c>
      <c r="AC20" s="70">
        <f t="shared" si="8"/>
        <v>9.6586697288601773</v>
      </c>
      <c r="AD20" s="70">
        <f t="shared" si="8"/>
        <v>10.403978501746195</v>
      </c>
      <c r="AE20" s="70">
        <f t="shared" si="8"/>
        <v>11.223818151920815</v>
      </c>
      <c r="AF20" s="308">
        <f t="shared" si="8"/>
        <v>12.125641767112898</v>
      </c>
    </row>
    <row r="21" spans="1:34" ht="15.75" thickBot="1" x14ac:dyDescent="0.3">
      <c r="A21" s="551"/>
      <c r="B21" s="5" t="s">
        <v>289</v>
      </c>
      <c r="C21" s="60">
        <f>C19*C9</f>
        <v>67.660000000000011</v>
      </c>
      <c r="F21" s="404" t="s">
        <v>288</v>
      </c>
      <c r="G21" s="403" t="s">
        <v>0</v>
      </c>
      <c r="H21" s="381">
        <f t="shared" ref="H21:S21" si="9">$C$8*$C$24</f>
        <v>5.3519399999999999</v>
      </c>
      <c r="I21" s="63">
        <f t="shared" si="9"/>
        <v>5.3519399999999999</v>
      </c>
      <c r="J21" s="63">
        <f t="shared" si="9"/>
        <v>5.3519399999999999</v>
      </c>
      <c r="K21" s="63">
        <f t="shared" si="9"/>
        <v>5.3519399999999999</v>
      </c>
      <c r="L21" s="63">
        <f t="shared" si="9"/>
        <v>5.3519399999999999</v>
      </c>
      <c r="M21" s="63">
        <f t="shared" si="9"/>
        <v>5.3519399999999999</v>
      </c>
      <c r="N21" s="63">
        <f t="shared" si="9"/>
        <v>5.3519399999999999</v>
      </c>
      <c r="O21" s="63">
        <f t="shared" si="9"/>
        <v>5.3519399999999999</v>
      </c>
      <c r="P21" s="63">
        <f t="shared" si="9"/>
        <v>5.3519399999999999</v>
      </c>
      <c r="Q21" s="63">
        <f t="shared" si="9"/>
        <v>5.3519399999999999</v>
      </c>
      <c r="R21" s="63">
        <f t="shared" si="9"/>
        <v>5.3519399999999999</v>
      </c>
      <c r="S21" s="63">
        <f t="shared" si="9"/>
        <v>5.3519399999999999</v>
      </c>
      <c r="T21" s="63">
        <f t="shared" ref="T21:AF21" si="10">$C$8*$C$25</f>
        <v>1.4137200000000001</v>
      </c>
      <c r="U21" s="63">
        <f t="shared" si="10"/>
        <v>1.4137200000000001</v>
      </c>
      <c r="V21" s="63">
        <f t="shared" si="10"/>
        <v>1.4137200000000001</v>
      </c>
      <c r="W21" s="63">
        <f t="shared" si="10"/>
        <v>1.4137200000000001</v>
      </c>
      <c r="X21" s="63">
        <f t="shared" si="10"/>
        <v>1.4137200000000001</v>
      </c>
      <c r="Y21" s="63">
        <f t="shared" si="10"/>
        <v>1.4137200000000001</v>
      </c>
      <c r="Z21" s="63">
        <f t="shared" si="10"/>
        <v>1.4137200000000001</v>
      </c>
      <c r="AA21" s="63">
        <f t="shared" si="10"/>
        <v>1.4137200000000001</v>
      </c>
      <c r="AB21" s="63">
        <f t="shared" si="10"/>
        <v>1.4137200000000001</v>
      </c>
      <c r="AC21" s="63">
        <f t="shared" si="10"/>
        <v>1.4137200000000001</v>
      </c>
      <c r="AD21" s="63">
        <f t="shared" si="10"/>
        <v>1.4137200000000001</v>
      </c>
      <c r="AE21" s="63">
        <f t="shared" si="10"/>
        <v>1.4137200000000001</v>
      </c>
      <c r="AF21" s="67">
        <f t="shared" si="10"/>
        <v>1.4137200000000001</v>
      </c>
    </row>
    <row r="22" spans="1:34" ht="15.75" thickBot="1" x14ac:dyDescent="0.3">
      <c r="B22" s="413" t="s">
        <v>44</v>
      </c>
      <c r="C22" s="420">
        <v>0.34610000000000002</v>
      </c>
      <c r="D22" s="11"/>
      <c r="F22" s="404" t="s">
        <v>229</v>
      </c>
      <c r="G22" s="403" t="s">
        <v>0</v>
      </c>
      <c r="H22" s="381">
        <f t="shared" ref="H22:AF22" si="11">$C$21*$C$20</f>
        <v>9.4724000000000022</v>
      </c>
      <c r="I22" s="63">
        <f t="shared" si="11"/>
        <v>9.4724000000000022</v>
      </c>
      <c r="J22" s="63">
        <f t="shared" si="11"/>
        <v>9.4724000000000022</v>
      </c>
      <c r="K22" s="63">
        <f t="shared" si="11"/>
        <v>9.4724000000000022</v>
      </c>
      <c r="L22" s="63">
        <f t="shared" si="11"/>
        <v>9.4724000000000022</v>
      </c>
      <c r="M22" s="63">
        <f t="shared" si="11"/>
        <v>9.4724000000000022</v>
      </c>
      <c r="N22" s="63">
        <f t="shared" si="11"/>
        <v>9.4724000000000022</v>
      </c>
      <c r="O22" s="63">
        <f t="shared" si="11"/>
        <v>9.4724000000000022</v>
      </c>
      <c r="P22" s="63">
        <f t="shared" si="11"/>
        <v>9.4724000000000022</v>
      </c>
      <c r="Q22" s="63">
        <f t="shared" si="11"/>
        <v>9.4724000000000022</v>
      </c>
      <c r="R22" s="63">
        <f t="shared" si="11"/>
        <v>9.4724000000000022</v>
      </c>
      <c r="S22" s="63">
        <f t="shared" si="11"/>
        <v>9.4724000000000022</v>
      </c>
      <c r="T22" s="63">
        <f t="shared" si="11"/>
        <v>9.4724000000000022</v>
      </c>
      <c r="U22" s="63">
        <f t="shared" si="11"/>
        <v>9.4724000000000022</v>
      </c>
      <c r="V22" s="63">
        <f t="shared" si="11"/>
        <v>9.4724000000000022</v>
      </c>
      <c r="W22" s="63">
        <f t="shared" si="11"/>
        <v>9.4724000000000022</v>
      </c>
      <c r="X22" s="63">
        <f t="shared" si="11"/>
        <v>9.4724000000000022</v>
      </c>
      <c r="Y22" s="63">
        <f t="shared" si="11"/>
        <v>9.4724000000000022</v>
      </c>
      <c r="Z22" s="63">
        <f t="shared" si="11"/>
        <v>9.4724000000000022</v>
      </c>
      <c r="AA22" s="63">
        <f t="shared" si="11"/>
        <v>9.4724000000000022</v>
      </c>
      <c r="AB22" s="63">
        <f t="shared" si="11"/>
        <v>9.4724000000000022</v>
      </c>
      <c r="AC22" s="63">
        <f t="shared" si="11"/>
        <v>9.4724000000000022</v>
      </c>
      <c r="AD22" s="63">
        <f t="shared" si="11"/>
        <v>9.4724000000000022</v>
      </c>
      <c r="AE22" s="63">
        <f t="shared" si="11"/>
        <v>9.4724000000000022</v>
      </c>
      <c r="AF22" s="67">
        <f t="shared" si="11"/>
        <v>9.4724000000000022</v>
      </c>
      <c r="AG22" s="415">
        <f>SUM(H22:AF22)</f>
        <v>236.80999999999997</v>
      </c>
    </row>
    <row r="23" spans="1:34" ht="15.75" thickBot="1" x14ac:dyDescent="0.3">
      <c r="B23" s="319" t="s">
        <v>84</v>
      </c>
      <c r="C23" s="414">
        <f>(C17*C16*(1-C22))+(C20*C19)</f>
        <v>7.5080800000000003E-2</v>
      </c>
      <c r="D23" s="11"/>
      <c r="F23" s="404" t="s">
        <v>230</v>
      </c>
      <c r="G23" s="403" t="s">
        <v>0</v>
      </c>
      <c r="H23" s="381">
        <f ca="1">IPMT($C$17,H15,12,-$C$18)+'S - Working Capital'!D9</f>
        <v>31.045542858480001</v>
      </c>
      <c r="I23" s="63">
        <f ca="1">IPMT($C$17,I15,12,-$C$18)+'S - Working Capital'!E9</f>
        <v>29.844022231243216</v>
      </c>
      <c r="J23" s="63">
        <f ca="1">IPMT($C$17,J15,12,-$C$18)+'S - Working Capital'!F9</f>
        <v>28.534050737495122</v>
      </c>
      <c r="K23" s="63">
        <f ca="1">IPMT($C$17,K15,12,-$C$18)+'S - Working Capital'!G9</f>
        <v>27.105852098746695</v>
      </c>
      <c r="L23" s="63">
        <f ca="1">IPMT($C$17,L15,12,-$C$18)+'S - Working Capital'!H9</f>
        <v>25.548769386419771</v>
      </c>
      <c r="M23" s="63">
        <f ca="1">IPMT($C$17,M15,12,-$C$18)+'S - Working Capital'!I9</f>
        <v>23.851185724087706</v>
      </c>
      <c r="N23" s="63">
        <f ca="1">IPMT($C$17,N15,12,-$C$18)+'S - Working Capital'!J9</f>
        <v>22.000437850955269</v>
      </c>
      <c r="O23" s="63">
        <f ca="1">IPMT($C$17,O15,12,-$C$18)+'S - Working Capital'!K9</f>
        <v>19.982721903990885</v>
      </c>
      <c r="P23" s="63">
        <f ca="1">IPMT($C$17,P15,12,-$C$18)+'S - Working Capital'!L9</f>
        <v>17.782990718287195</v>
      </c>
      <c r="Q23" s="63">
        <f ca="1">IPMT($C$17,Q15,12,-$C$18)+'S - Working Capital'!M9</f>
        <v>15.38484188218203</v>
      </c>
      <c r="R23" s="63">
        <f ca="1">IPMT($C$17,R15,12,-$C$18)+'S - Working Capital'!N9</f>
        <v>12.770395714954844</v>
      </c>
      <c r="S23" s="63">
        <f ca="1">IPMT($C$17,S15,12,-$C$18)+'S - Working Capital'!O9</f>
        <v>9.9201622600110344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7">
        <v>0</v>
      </c>
      <c r="AG23" s="415">
        <f ca="1">SUM(H23:AF23)</f>
        <v>263.77097336685375</v>
      </c>
    </row>
    <row r="24" spans="1:34" ht="15.75" thickBot="1" x14ac:dyDescent="0.3">
      <c r="B24" s="319" t="s">
        <v>287</v>
      </c>
      <c r="C24" s="414">
        <v>5.8299999999999998E-2</v>
      </c>
      <c r="D24" s="11"/>
      <c r="E24" s="55"/>
      <c r="F24" s="402" t="s">
        <v>380</v>
      </c>
      <c r="G24" s="419" t="s">
        <v>98</v>
      </c>
      <c r="H24" s="418">
        <f t="shared" ref="H24:AF24" si="12">$C$3/H16</f>
        <v>1672015.7219810826</v>
      </c>
      <c r="I24" s="417">
        <f t="shared" si="12"/>
        <v>1555246.5656358877</v>
      </c>
      <c r="J24" s="417">
        <f t="shared" si="12"/>
        <v>1446632.2583715455</v>
      </c>
      <c r="K24" s="417">
        <f t="shared" si="12"/>
        <v>1345603.2870939053</v>
      </c>
      <c r="L24" s="417">
        <f t="shared" si="12"/>
        <v>1251629.9119972242</v>
      </c>
      <c r="M24" s="417">
        <f t="shared" si="12"/>
        <v>1164219.3889028844</v>
      </c>
      <c r="N24" s="417">
        <f t="shared" si="12"/>
        <v>1082913.3855826319</v>
      </c>
      <c r="O24" s="417">
        <f t="shared" si="12"/>
        <v>1007285.5785189652</v>
      </c>
      <c r="P24" s="417">
        <f t="shared" si="12"/>
        <v>936939.41750142432</v>
      </c>
      <c r="Q24" s="417">
        <f t="shared" si="12"/>
        <v>871506.04633756296</v>
      </c>
      <c r="R24" s="417">
        <f t="shared" si="12"/>
        <v>810642.36877596832</v>
      </c>
      <c r="S24" s="417">
        <f t="shared" si="12"/>
        <v>754029.24950010108</v>
      </c>
      <c r="T24" s="417">
        <f t="shared" si="12"/>
        <v>701369.8407599699</v>
      </c>
      <c r="U24" s="417">
        <f t="shared" si="12"/>
        <v>652388.02586742304</v>
      </c>
      <c r="V24" s="417">
        <f t="shared" si="12"/>
        <v>606826.97139361349</v>
      </c>
      <c r="W24" s="417">
        <f t="shared" si="12"/>
        <v>564447.7804771635</v>
      </c>
      <c r="X24" s="417">
        <f t="shared" si="12"/>
        <v>525028.24018172733</v>
      </c>
      <c r="Y24" s="417">
        <f t="shared" si="12"/>
        <v>488361.65633478644</v>
      </c>
      <c r="Z24" s="417">
        <f t="shared" si="12"/>
        <v>454255.76973822486</v>
      </c>
      <c r="AA24" s="417">
        <f t="shared" si="12"/>
        <v>422531.74806788913</v>
      </c>
      <c r="AB24" s="417">
        <f t="shared" si="12"/>
        <v>393023.24817622016</v>
      </c>
      <c r="AC24" s="417">
        <f t="shared" si="12"/>
        <v>365575.54388118547</v>
      </c>
      <c r="AD24" s="417">
        <f t="shared" si="12"/>
        <v>340044.71466813068</v>
      </c>
      <c r="AE24" s="417">
        <f t="shared" si="12"/>
        <v>316296.89105054288</v>
      </c>
      <c r="AF24" s="416">
        <f t="shared" si="12"/>
        <v>294207.55263282818</v>
      </c>
      <c r="AG24" s="415">
        <f>SUM(H24:AF24)</f>
        <v>20023021.163428891</v>
      </c>
    </row>
    <row r="25" spans="1:34" ht="15.75" thickBot="1" x14ac:dyDescent="0.3">
      <c r="B25" s="319" t="s">
        <v>286</v>
      </c>
      <c r="C25" s="414">
        <v>1.54E-2</v>
      </c>
      <c r="D25" s="11"/>
      <c r="G25" s="32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4" ht="15.75" thickBot="1" x14ac:dyDescent="0.3">
      <c r="B26" s="413" t="s">
        <v>285</v>
      </c>
      <c r="C26" s="412">
        <v>0.4</v>
      </c>
      <c r="AG26" s="384" t="s">
        <v>267</v>
      </c>
      <c r="AH26" s="384" t="s">
        <v>378</v>
      </c>
    </row>
    <row r="27" spans="1:34" ht="15.75" thickBot="1" x14ac:dyDescent="0.3">
      <c r="B27" s="319" t="s">
        <v>284</v>
      </c>
      <c r="C27" s="411">
        <v>0.2</v>
      </c>
      <c r="F27" s="410" t="s">
        <v>283</v>
      </c>
      <c r="G27" s="409" t="s">
        <v>0</v>
      </c>
      <c r="H27" s="408">
        <f t="shared" ref="H27:AF27" si="13">H18</f>
        <v>4.7201103396135426</v>
      </c>
      <c r="I27" s="213">
        <f t="shared" si="13"/>
        <v>4.6099938317140632</v>
      </c>
      <c r="J27" s="213">
        <f t="shared" si="13"/>
        <v>4.5024462564113934</v>
      </c>
      <c r="K27" s="213">
        <f t="shared" si="13"/>
        <v>4.3974076825034576</v>
      </c>
      <c r="L27" s="213">
        <f t="shared" si="13"/>
        <v>4.2948195769365718</v>
      </c>
      <c r="M27" s="213">
        <f t="shared" si="13"/>
        <v>4.1946247721877281</v>
      </c>
      <c r="N27" s="213">
        <f t="shared" si="13"/>
        <v>4.0967674344078269</v>
      </c>
      <c r="O27" s="213">
        <f t="shared" si="13"/>
        <v>4.0011930323081009</v>
      </c>
      <c r="P27" s="213">
        <f t="shared" si="13"/>
        <v>3.9078483067723897</v>
      </c>
      <c r="Q27" s="213">
        <f t="shared" si="13"/>
        <v>3.8166812411783462</v>
      </c>
      <c r="R27" s="213">
        <f t="shared" si="13"/>
        <v>3.7276410324110181</v>
      </c>
      <c r="S27" s="213">
        <f t="shared" si="13"/>
        <v>3.6406780625526647</v>
      </c>
      <c r="T27" s="213">
        <f t="shared" si="13"/>
        <v>3.5557438712330263</v>
      </c>
      <c r="U27" s="213">
        <f t="shared" si="13"/>
        <v>3.4727911286246362</v>
      </c>
      <c r="V27" s="213">
        <f t="shared" si="13"/>
        <v>3.391773609068145</v>
      </c>
      <c r="W27" s="213">
        <f t="shared" si="13"/>
        <v>3.3126461653129247</v>
      </c>
      <c r="X27" s="213">
        <f t="shared" si="13"/>
        <v>3.2353647033586421</v>
      </c>
      <c r="Y27" s="213">
        <f t="shared" si="13"/>
        <v>3.1598861578837365</v>
      </c>
      <c r="Z27" s="213">
        <f t="shared" si="13"/>
        <v>3.0861684682471533</v>
      </c>
      <c r="AA27" s="213">
        <f t="shared" si="13"/>
        <v>3.014170555049918</v>
      </c>
      <c r="AB27" s="213">
        <f t="shared" si="13"/>
        <v>2.943852297243533</v>
      </c>
      <c r="AC27" s="213">
        <f t="shared" si="13"/>
        <v>2.8751745097723895</v>
      </c>
      <c r="AD27" s="213">
        <f t="shared" si="13"/>
        <v>2.8080989217377992</v>
      </c>
      <c r="AE27" s="213">
        <f t="shared" si="13"/>
        <v>2.7425881550714029</v>
      </c>
      <c r="AF27" s="192">
        <f t="shared" si="13"/>
        <v>2.6786057037061535</v>
      </c>
      <c r="AG27" s="400">
        <f t="shared" ref="AG27:AG32" si="14">SUM(H27:AF27)</f>
        <v>90.187075815306557</v>
      </c>
      <c r="AH27" s="399">
        <f t="shared" ref="AH27:AH32" si="15">AG27*100000/$AG$24</f>
        <v>0.45041692299676039</v>
      </c>
    </row>
    <row r="28" spans="1:34" ht="15.75" thickBot="1" x14ac:dyDescent="0.3">
      <c r="F28" s="404" t="s">
        <v>282</v>
      </c>
      <c r="G28" s="403" t="s">
        <v>0</v>
      </c>
      <c r="H28" s="70">
        <f t="shared" ref="H28:AF28" si="16">H19/H16</f>
        <v>10.249183131165582</v>
      </c>
      <c r="I28" s="63">
        <f t="shared" si="16"/>
        <v>9.5334072854482965</v>
      </c>
      <c r="J28" s="63">
        <f t="shared" si="16"/>
        <v>8.8676193319128149</v>
      </c>
      <c r="K28" s="63">
        <f t="shared" si="16"/>
        <v>8.248328248363114</v>
      </c>
      <c r="L28" s="63">
        <f t="shared" si="16"/>
        <v>7.6722868163612583</v>
      </c>
      <c r="M28" s="63">
        <f t="shared" si="16"/>
        <v>7.1364745946176864</v>
      </c>
      <c r="N28" s="63">
        <f t="shared" si="16"/>
        <v>6.6380820814748862</v>
      </c>
      <c r="O28" s="63">
        <f t="shared" si="16"/>
        <v>6.1744959834413251</v>
      </c>
      <c r="P28" s="63">
        <f t="shared" si="16"/>
        <v>5.7432855125320117</v>
      </c>
      <c r="Q28" s="63">
        <f t="shared" si="16"/>
        <v>5.3421896405665619</v>
      </c>
      <c r="R28" s="63">
        <f t="shared" si="16"/>
        <v>4.9691052435933765</v>
      </c>
      <c r="S28" s="63">
        <f t="shared" si="16"/>
        <v>4.6220760742758831</v>
      </c>
      <c r="T28" s="63">
        <f t="shared" si="16"/>
        <v>1.1356595294689491</v>
      </c>
      <c r="U28" s="63">
        <f t="shared" si="16"/>
        <v>1.0563480712044611</v>
      </c>
      <c r="V28" s="63">
        <f t="shared" si="16"/>
        <v>0.98257551544447752</v>
      </c>
      <c r="W28" s="63">
        <f t="shared" si="16"/>
        <v>0.91395503988581817</v>
      </c>
      <c r="X28" s="63">
        <f t="shared" si="16"/>
        <v>0.85012683687199908</v>
      </c>
      <c r="Y28" s="63">
        <f t="shared" si="16"/>
        <v>0.79075622676174573</v>
      </c>
      <c r="Z28" s="63">
        <f t="shared" si="16"/>
        <v>0.73553190305486427</v>
      </c>
      <c r="AA28" s="63">
        <f t="shared" si="16"/>
        <v>0.68416430007387719</v>
      </c>
      <c r="AB28" s="63">
        <f t="shared" si="16"/>
        <v>0.63638407464246172</v>
      </c>
      <c r="AC28" s="63">
        <f t="shared" si="16"/>
        <v>0.59194069379944414</v>
      </c>
      <c r="AD28" s="63">
        <f t="shared" si="16"/>
        <v>0.55060112114312187</v>
      </c>
      <c r="AE28" s="63">
        <f t="shared" si="16"/>
        <v>0.51214859491781606</v>
      </c>
      <c r="AF28" s="67">
        <f t="shared" si="16"/>
        <v>0.47638149143563568</v>
      </c>
      <c r="AG28" s="400">
        <f t="shared" si="14"/>
        <v>95.113107342457468</v>
      </c>
      <c r="AH28" s="399">
        <f t="shared" si="15"/>
        <v>0.47501876248414049</v>
      </c>
    </row>
    <row r="29" spans="1:34" ht="15.75" thickBot="1" x14ac:dyDescent="0.3">
      <c r="B29" s="552" t="s">
        <v>262</v>
      </c>
      <c r="C29" s="553"/>
      <c r="D29" s="554"/>
      <c r="F29" s="404" t="s">
        <v>281</v>
      </c>
      <c r="G29" s="403" t="s">
        <v>0</v>
      </c>
      <c r="H29" s="70">
        <f t="shared" ref="H29:AF29" si="17">H20/H16</f>
        <v>5.2686551559659511</v>
      </c>
      <c r="I29" s="63">
        <f t="shared" si="17"/>
        <v>4.9878442220771451</v>
      </c>
      <c r="J29" s="63">
        <f t="shared" si="17"/>
        <v>4.7409305880353863</v>
      </c>
      <c r="K29" s="63">
        <f t="shared" si="17"/>
        <v>4.5010608862822323</v>
      </c>
      <c r="L29" s="63">
        <f t="shared" si="17"/>
        <v>4.2800575311343527</v>
      </c>
      <c r="M29" s="63">
        <f t="shared" si="17"/>
        <v>4.0766519581992915</v>
      </c>
      <c r="N29" s="63">
        <f t="shared" si="17"/>
        <v>3.8896653322969206</v>
      </c>
      <c r="O29" s="63">
        <f t="shared" si="17"/>
        <v>3.7180023073404715</v>
      </c>
      <c r="P29" s="63">
        <f t="shared" si="17"/>
        <v>3.5606452226213232</v>
      </c>
      <c r="Q29" s="63">
        <f t="shared" si="17"/>
        <v>3.4166487050344054</v>
      </c>
      <c r="R29" s="63">
        <f t="shared" si="17"/>
        <v>3.2851346489088722</v>
      </c>
      <c r="S29" s="63">
        <f t="shared" si="17"/>
        <v>3.1652875470879014</v>
      </c>
      <c r="T29" s="63">
        <f t="shared" si="17"/>
        <v>2.0938722595383461</v>
      </c>
      <c r="U29" s="63">
        <f t="shared" si="17"/>
        <v>2.0623584424028416</v>
      </c>
      <c r="V29" s="63">
        <f t="shared" si="17"/>
        <v>2.0357044744973938</v>
      </c>
      <c r="W29" s="63">
        <f t="shared" si="17"/>
        <v>2.0136325896983953</v>
      </c>
      <c r="X29" s="63">
        <f t="shared" si="17"/>
        <v>1.9958858489170108</v>
      </c>
      <c r="Y29" s="63">
        <f t="shared" si="17"/>
        <v>1.9822267187071432</v>
      </c>
      <c r="Z29" s="63">
        <f t="shared" si="17"/>
        <v>1.9724357499071916</v>
      </c>
      <c r="AA29" s="63">
        <f t="shared" si="17"/>
        <v>1.9663103493472793</v>
      </c>
      <c r="AB29" s="63">
        <f t="shared" si="17"/>
        <v>1.9636636381407291</v>
      </c>
      <c r="AC29" s="63">
        <f t="shared" si="17"/>
        <v>1.9643233905315682</v>
      </c>
      <c r="AD29" s="63">
        <f t="shared" si="17"/>
        <v>1.9681310476913327</v>
      </c>
      <c r="AE29" s="63">
        <f t="shared" si="17"/>
        <v>1.9749408012503691</v>
      </c>
      <c r="AF29" s="67">
        <f t="shared" si="17"/>
        <v>1.984618741713557</v>
      </c>
      <c r="AG29" s="400">
        <f t="shared" si="14"/>
        <v>74.868688157327426</v>
      </c>
      <c r="AH29" s="399">
        <f t="shared" si="15"/>
        <v>0.37391304512064127</v>
      </c>
    </row>
    <row r="30" spans="1:34" x14ac:dyDescent="0.25">
      <c r="B30" s="396" t="s">
        <v>278</v>
      </c>
      <c r="C30" s="12" t="s">
        <v>273</v>
      </c>
      <c r="D30" s="398">
        <v>1.0071399999999999</v>
      </c>
      <c r="F30" s="404" t="s">
        <v>280</v>
      </c>
      <c r="G30" s="403" t="s">
        <v>0</v>
      </c>
      <c r="H30" s="70">
        <f t="shared" ref="H30:AF30" si="18">H21/H16</f>
        <v>4.9781746637089972</v>
      </c>
      <c r="I30" s="63">
        <f t="shared" si="18"/>
        <v>4.6305121100748865</v>
      </c>
      <c r="J30" s="63">
        <f t="shared" si="18"/>
        <v>4.3071293897862253</v>
      </c>
      <c r="K30" s="63">
        <f t="shared" si="18"/>
        <v>4.006330863490656</v>
      </c>
      <c r="L30" s="63">
        <f t="shared" si="18"/>
        <v>3.7265393108040401</v>
      </c>
      <c r="M30" s="63">
        <f t="shared" si="18"/>
        <v>3.4662876602428763</v>
      </c>
      <c r="N30" s="63">
        <f t="shared" si="18"/>
        <v>3.2242112967163736</v>
      </c>
      <c r="O30" s="63">
        <f t="shared" si="18"/>
        <v>2.9990409062429295</v>
      </c>
      <c r="P30" s="63">
        <f t="shared" si="18"/>
        <v>2.7895958203726918</v>
      </c>
      <c r="Q30" s="63">
        <f t="shared" si="18"/>
        <v>2.5947778254180447</v>
      </c>
      <c r="R30" s="63">
        <f t="shared" si="18"/>
        <v>2.4135654040310688</v>
      </c>
      <c r="S30" s="63">
        <f t="shared" si="18"/>
        <v>2.2450083789340005</v>
      </c>
      <c r="T30" s="63">
        <f t="shared" si="18"/>
        <v>0.55160605717063249</v>
      </c>
      <c r="U30" s="63">
        <f t="shared" si="18"/>
        <v>0.51308334887073825</v>
      </c>
      <c r="V30" s="63">
        <f t="shared" si="18"/>
        <v>0.47725096464446054</v>
      </c>
      <c r="W30" s="63">
        <f t="shared" si="18"/>
        <v>0.44392101937311174</v>
      </c>
      <c r="X30" s="63">
        <f t="shared" si="18"/>
        <v>0.41291874933782818</v>
      </c>
      <c r="Y30" s="63">
        <f t="shared" si="18"/>
        <v>0.38408159585570506</v>
      </c>
      <c r="Z30" s="63">
        <f t="shared" si="18"/>
        <v>0.35725835291236263</v>
      </c>
      <c r="AA30" s="63">
        <f t="shared" si="18"/>
        <v>0.33230837432159749</v>
      </c>
      <c r="AB30" s="63">
        <f t="shared" si="18"/>
        <v>0.30910083625490997</v>
      </c>
      <c r="AC30" s="63">
        <f t="shared" si="18"/>
        <v>0.28751405127401575</v>
      </c>
      <c r="AD30" s="63">
        <f t="shared" si="18"/>
        <v>0.26743483026951637</v>
      </c>
      <c r="AE30" s="63">
        <f t="shared" si="18"/>
        <v>0.24875788896008211</v>
      </c>
      <c r="AF30" s="67">
        <f t="shared" si="18"/>
        <v>0.2313852958401659</v>
      </c>
      <c r="AG30" s="400">
        <f t="shared" si="14"/>
        <v>46.197794994907916</v>
      </c>
      <c r="AH30" s="399">
        <f t="shared" si="15"/>
        <v>0.23072339892086827</v>
      </c>
    </row>
    <row r="31" spans="1:34" x14ac:dyDescent="0.25">
      <c r="B31" s="407" t="s">
        <v>275</v>
      </c>
      <c r="C31" s="406" t="s">
        <v>25</v>
      </c>
      <c r="D31" s="405">
        <v>0.1</v>
      </c>
      <c r="F31" s="404" t="s">
        <v>229</v>
      </c>
      <c r="G31" s="403" t="s">
        <v>0</v>
      </c>
      <c r="H31" s="70">
        <f t="shared" ref="H31:AF31" si="19">H22/H16</f>
        <v>8.8108726339452819</v>
      </c>
      <c r="I31" s="63">
        <f t="shared" si="19"/>
        <v>8.1955445897138919</v>
      </c>
      <c r="J31" s="63">
        <f t="shared" si="19"/>
        <v>7.6231894288446895</v>
      </c>
      <c r="K31" s="63">
        <f t="shared" si="19"/>
        <v>7.0908060388062824</v>
      </c>
      <c r="L31" s="63">
        <f t="shared" si="19"/>
        <v>6.5956028968299716</v>
      </c>
      <c r="M31" s="63">
        <f t="shared" si="19"/>
        <v>6.1349834327149839</v>
      </c>
      <c r="N31" s="63">
        <f t="shared" si="19"/>
        <v>5.7065324138566922</v>
      </c>
      <c r="O31" s="63">
        <f t="shared" si="19"/>
        <v>5.3080032811084452</v>
      </c>
      <c r="P31" s="63">
        <f t="shared" si="19"/>
        <v>4.9373063690733252</v>
      </c>
      <c r="Q31" s="63">
        <f t="shared" si="19"/>
        <v>4.592497949059573</v>
      </c>
      <c r="R31" s="63">
        <f t="shared" si="19"/>
        <v>4.2717700372470357</v>
      </c>
      <c r="S31" s="63">
        <f t="shared" si="19"/>
        <v>3.9734409146243106</v>
      </c>
      <c r="T31" s="63">
        <f t="shared" si="19"/>
        <v>3.6959463089884137</v>
      </c>
      <c r="U31" s="63">
        <f t="shared" si="19"/>
        <v>3.4378311927702674</v>
      </c>
      <c r="V31" s="63">
        <f t="shared" si="19"/>
        <v>3.1977421536783721</v>
      </c>
      <c r="W31" s="63">
        <f t="shared" si="19"/>
        <v>2.9744202981565402</v>
      </c>
      <c r="X31" s="63">
        <f t="shared" si="19"/>
        <v>2.7666946504453813</v>
      </c>
      <c r="Y31" s="63">
        <f t="shared" si="19"/>
        <v>2.5734760126358696</v>
      </c>
      <c r="Z31" s="63">
        <f t="shared" si="19"/>
        <v>2.3937512535205445</v>
      </c>
      <c r="AA31" s="63">
        <f t="shared" si="19"/>
        <v>2.2265779962962262</v>
      </c>
      <c r="AB31" s="63">
        <f t="shared" si="19"/>
        <v>2.0710796772635387</v>
      </c>
      <c r="AC31" s="63">
        <f t="shared" si="19"/>
        <v>1.9264409496137758</v>
      </c>
      <c r="AD31" s="63">
        <f t="shared" si="19"/>
        <v>1.7919034082031571</v>
      </c>
      <c r="AE31" s="63">
        <f t="shared" si="19"/>
        <v>1.66676161289752</v>
      </c>
      <c r="AF31" s="67">
        <f t="shared" si="19"/>
        <v>1.5503593896361287</v>
      </c>
      <c r="AG31" s="400">
        <f t="shared" si="14"/>
        <v>105.51353488993023</v>
      </c>
      <c r="AH31" s="399">
        <f t="shared" si="15"/>
        <v>0.52696111155616088</v>
      </c>
    </row>
    <row r="32" spans="1:34" ht="15.75" thickBot="1" x14ac:dyDescent="0.3">
      <c r="B32" s="555" t="s">
        <v>279</v>
      </c>
      <c r="C32" s="556"/>
      <c r="D32" s="557"/>
      <c r="F32" s="402" t="s">
        <v>230</v>
      </c>
      <c r="G32" s="401" t="s">
        <v>0</v>
      </c>
      <c r="H32" s="118">
        <f t="shared" ref="H32:AF32" ca="1" si="20">H23/H16</f>
        <v>28.8774042457832</v>
      </c>
      <c r="I32" s="119">
        <f t="shared" ca="1" si="20"/>
        <v>25.821123995245809</v>
      </c>
      <c r="J32" s="119">
        <f t="shared" ca="1" si="20"/>
        <v>22.963607316434143</v>
      </c>
      <c r="K32" s="119">
        <f t="shared" ca="1" si="20"/>
        <v>20.290775278575964</v>
      </c>
      <c r="L32" s="119">
        <f t="shared" ca="1" si="20"/>
        <v>17.789529303609548</v>
      </c>
      <c r="M32" s="119">
        <f t="shared" ca="1" si="20"/>
        <v>15.447682664149125</v>
      </c>
      <c r="N32" s="119">
        <f t="shared" ca="1" si="20"/>
        <v>13.253896764865914</v>
      </c>
      <c r="O32" s="119">
        <f t="shared" ca="1" si="20"/>
        <v>11.19762187321705</v>
      </c>
      <c r="P32" s="119">
        <f t="shared" ca="1" si="20"/>
        <v>9.2690419887854372</v>
      </c>
      <c r="Q32" s="119">
        <f t="shared" ca="1" si="20"/>
        <v>7.4590235621940346</v>
      </c>
      <c r="R32" s="119">
        <f t="shared" ca="1" si="20"/>
        <v>5.7590677947438902</v>
      </c>
      <c r="S32" s="119">
        <f t="shared" ca="1" si="20"/>
        <v>4.1612662687006257</v>
      </c>
      <c r="T32" s="119">
        <f t="shared" si="20"/>
        <v>0</v>
      </c>
      <c r="U32" s="119">
        <f t="shared" si="20"/>
        <v>0</v>
      </c>
      <c r="V32" s="119">
        <f t="shared" si="20"/>
        <v>0</v>
      </c>
      <c r="W32" s="119">
        <f t="shared" si="20"/>
        <v>0</v>
      </c>
      <c r="X32" s="119">
        <f t="shared" si="20"/>
        <v>0</v>
      </c>
      <c r="Y32" s="119">
        <f t="shared" si="20"/>
        <v>0</v>
      </c>
      <c r="Z32" s="119">
        <f t="shared" si="20"/>
        <v>0</v>
      </c>
      <c r="AA32" s="119">
        <f t="shared" si="20"/>
        <v>0</v>
      </c>
      <c r="AB32" s="119">
        <f t="shared" si="20"/>
        <v>0</v>
      </c>
      <c r="AC32" s="119">
        <f t="shared" si="20"/>
        <v>0</v>
      </c>
      <c r="AD32" s="119">
        <f t="shared" si="20"/>
        <v>0</v>
      </c>
      <c r="AE32" s="119">
        <f t="shared" si="20"/>
        <v>0</v>
      </c>
      <c r="AF32" s="120">
        <f t="shared" si="20"/>
        <v>0</v>
      </c>
      <c r="AG32" s="400">
        <f t="shared" ca="1" si="14"/>
        <v>182.29004105630472</v>
      </c>
      <c r="AH32" s="399">
        <f t="shared" ca="1" si="15"/>
        <v>0.91040227929863515</v>
      </c>
    </row>
    <row r="33" spans="2:34" x14ac:dyDescent="0.25">
      <c r="B33" s="396" t="s">
        <v>278</v>
      </c>
      <c r="C33" s="12" t="s">
        <v>273</v>
      </c>
      <c r="D33" s="398">
        <f>0.30484</f>
        <v>0.30484</v>
      </c>
    </row>
    <row r="34" spans="2:34" x14ac:dyDescent="0.25">
      <c r="B34" s="396" t="s">
        <v>277</v>
      </c>
      <c r="C34" s="12" t="s">
        <v>28</v>
      </c>
      <c r="D34" s="397">
        <v>2</v>
      </c>
      <c r="F34" s="2" t="s">
        <v>276</v>
      </c>
      <c r="G34" s="55"/>
    </row>
    <row r="35" spans="2:34" x14ac:dyDescent="0.25">
      <c r="B35" s="396" t="s">
        <v>275</v>
      </c>
      <c r="C35" s="12" t="s">
        <v>25</v>
      </c>
      <c r="D35" s="395">
        <v>0.05</v>
      </c>
    </row>
    <row r="36" spans="2:34" ht="15.75" thickBot="1" x14ac:dyDescent="0.3">
      <c r="B36" s="394" t="s">
        <v>274</v>
      </c>
      <c r="C36" s="393" t="s">
        <v>273</v>
      </c>
      <c r="D36" s="392">
        <v>1</v>
      </c>
      <c r="F36" t="s">
        <v>272</v>
      </c>
      <c r="G36" s="391">
        <f>C9</f>
        <v>338.3</v>
      </c>
    </row>
    <row r="37" spans="2:34" ht="15.75" thickBot="1" x14ac:dyDescent="0.3">
      <c r="H37" s="106">
        <f>SUM(C26:C27)</f>
        <v>0.60000000000000009</v>
      </c>
      <c r="I37" s="237">
        <f>(1-H37)*C26</f>
        <v>0.15999999999999998</v>
      </c>
      <c r="J37" s="237">
        <f>(1-SUM(H37:I37))*C26</f>
        <v>9.6000000000000002E-2</v>
      </c>
      <c r="K37" s="237">
        <f>(1-SUM(H37:J37))*C26</f>
        <v>5.7600000000000012E-2</v>
      </c>
      <c r="L37" s="237">
        <f>(1-SUM(H37:K37))*C26</f>
        <v>3.4560000000000014E-2</v>
      </c>
      <c r="M37" s="237">
        <f>(1-SUM(H37:L37))*C26</f>
        <v>2.0736000000000001E-2</v>
      </c>
      <c r="N37" s="237">
        <f>(1-SUM(H37:M37))*C26</f>
        <v>1.2441600000000009E-2</v>
      </c>
      <c r="O37" s="237">
        <f>(1-SUM(H37:N37))*C26</f>
        <v>7.4649599999999875E-3</v>
      </c>
      <c r="P37" s="237">
        <f>(1-SUM(H37:O37))*C26</f>
        <v>4.4789760000000017E-3</v>
      </c>
      <c r="Q37" s="106">
        <f>(1-SUM(H37:P37))</f>
        <v>6.7184639999999796E-3</v>
      </c>
    </row>
    <row r="38" spans="2:34" s="2" customFormat="1" ht="15.75" thickBot="1" x14ac:dyDescent="0.3">
      <c r="F38" s="390"/>
      <c r="G38" s="389" t="s">
        <v>1</v>
      </c>
      <c r="H38" s="389">
        <v>1</v>
      </c>
      <c r="I38" s="373">
        <v>2</v>
      </c>
      <c r="J38" s="373">
        <v>3</v>
      </c>
      <c r="K38" s="373">
        <v>4</v>
      </c>
      <c r="L38" s="373">
        <v>5</v>
      </c>
      <c r="M38" s="373">
        <v>6</v>
      </c>
      <c r="N38" s="373">
        <v>7</v>
      </c>
      <c r="O38" s="373">
        <v>8</v>
      </c>
      <c r="P38" s="373">
        <v>9</v>
      </c>
      <c r="Q38" s="373">
        <v>10</v>
      </c>
      <c r="R38" s="373">
        <v>11</v>
      </c>
      <c r="S38" s="373">
        <v>12</v>
      </c>
      <c r="T38" s="373">
        <v>13</v>
      </c>
      <c r="U38" s="373">
        <v>14</v>
      </c>
      <c r="V38" s="373">
        <v>15</v>
      </c>
      <c r="W38" s="373">
        <v>16</v>
      </c>
      <c r="X38" s="373">
        <v>17</v>
      </c>
      <c r="Y38" s="373">
        <v>18</v>
      </c>
      <c r="Z38" s="373">
        <v>19</v>
      </c>
      <c r="AA38" s="373">
        <v>20</v>
      </c>
      <c r="AB38" s="373">
        <v>21</v>
      </c>
      <c r="AC38" s="373">
        <v>22</v>
      </c>
      <c r="AD38" s="373">
        <v>23</v>
      </c>
      <c r="AE38" s="373">
        <v>24</v>
      </c>
      <c r="AF38" s="372">
        <v>25</v>
      </c>
    </row>
    <row r="39" spans="2:34" x14ac:dyDescent="0.25">
      <c r="F39" s="388" t="s">
        <v>271</v>
      </c>
      <c r="G39" s="387" t="s">
        <v>0</v>
      </c>
      <c r="H39" s="386">
        <f t="shared" ref="H39:X39" si="21">0.0528*$G$36</f>
        <v>17.86224</v>
      </c>
      <c r="I39" s="77">
        <f t="shared" si="21"/>
        <v>17.86224</v>
      </c>
      <c r="J39" s="77">
        <f t="shared" si="21"/>
        <v>17.86224</v>
      </c>
      <c r="K39" s="77">
        <f t="shared" si="21"/>
        <v>17.86224</v>
      </c>
      <c r="L39" s="77">
        <f t="shared" si="21"/>
        <v>17.86224</v>
      </c>
      <c r="M39" s="77">
        <f t="shared" si="21"/>
        <v>17.86224</v>
      </c>
      <c r="N39" s="77">
        <f t="shared" si="21"/>
        <v>17.86224</v>
      </c>
      <c r="O39" s="77">
        <f t="shared" si="21"/>
        <v>17.86224</v>
      </c>
      <c r="P39" s="77">
        <f t="shared" si="21"/>
        <v>17.86224</v>
      </c>
      <c r="Q39" s="77">
        <f t="shared" si="21"/>
        <v>17.86224</v>
      </c>
      <c r="R39" s="77">
        <f t="shared" si="21"/>
        <v>17.86224</v>
      </c>
      <c r="S39" s="77">
        <f t="shared" si="21"/>
        <v>17.86224</v>
      </c>
      <c r="T39" s="77">
        <f t="shared" si="21"/>
        <v>17.86224</v>
      </c>
      <c r="U39" s="77">
        <f t="shared" si="21"/>
        <v>17.86224</v>
      </c>
      <c r="V39" s="77">
        <f t="shared" si="21"/>
        <v>17.86224</v>
      </c>
      <c r="W39" s="77">
        <f t="shared" si="21"/>
        <v>17.86224</v>
      </c>
      <c r="X39" s="77">
        <f t="shared" si="21"/>
        <v>17.86224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8">
        <v>0</v>
      </c>
    </row>
    <row r="40" spans="2:34" x14ac:dyDescent="0.25">
      <c r="F40" s="383" t="s">
        <v>270</v>
      </c>
      <c r="G40" s="382" t="s">
        <v>0</v>
      </c>
      <c r="H40" s="381">
        <f t="shared" ref="H40:Q40" si="22">$G$36*H37</f>
        <v>202.98000000000005</v>
      </c>
      <c r="I40" s="63">
        <f t="shared" si="22"/>
        <v>54.127999999999993</v>
      </c>
      <c r="J40" s="63">
        <f t="shared" si="22"/>
        <v>32.476800000000004</v>
      </c>
      <c r="K40" s="63">
        <f t="shared" si="22"/>
        <v>19.486080000000005</v>
      </c>
      <c r="L40" s="63">
        <f t="shared" si="22"/>
        <v>11.691648000000006</v>
      </c>
      <c r="M40" s="63">
        <f t="shared" si="22"/>
        <v>7.0149888000000002</v>
      </c>
      <c r="N40" s="63">
        <f t="shared" si="22"/>
        <v>4.2089932800000032</v>
      </c>
      <c r="O40" s="63">
        <f t="shared" si="22"/>
        <v>2.5253959679999958</v>
      </c>
      <c r="P40" s="63">
        <f t="shared" si="22"/>
        <v>1.5152375808000007</v>
      </c>
      <c r="Q40" s="63">
        <f t="shared" si="22"/>
        <v>2.272856371199993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7">
        <v>0</v>
      </c>
    </row>
    <row r="41" spans="2:34" x14ac:dyDescent="0.25">
      <c r="F41" s="383" t="s">
        <v>269</v>
      </c>
      <c r="G41" s="382" t="s">
        <v>0</v>
      </c>
      <c r="H41" s="381">
        <f t="shared" ref="H41:AF41" si="23">H40-H39</f>
        <v>185.11776000000003</v>
      </c>
      <c r="I41" s="63">
        <f t="shared" si="23"/>
        <v>36.265759999999993</v>
      </c>
      <c r="J41" s="63">
        <f t="shared" si="23"/>
        <v>14.614560000000004</v>
      </c>
      <c r="K41" s="63">
        <f t="shared" si="23"/>
        <v>1.6238400000000048</v>
      </c>
      <c r="L41" s="63">
        <f t="shared" si="23"/>
        <v>-6.1705919999999939</v>
      </c>
      <c r="M41" s="63">
        <f t="shared" si="23"/>
        <v>-10.847251199999999</v>
      </c>
      <c r="N41" s="63">
        <f t="shared" si="23"/>
        <v>-13.653246719999997</v>
      </c>
      <c r="O41" s="63">
        <f t="shared" si="23"/>
        <v>-15.336844032000004</v>
      </c>
      <c r="P41" s="63">
        <f t="shared" si="23"/>
        <v>-16.347002419199999</v>
      </c>
      <c r="Q41" s="63">
        <f t="shared" si="23"/>
        <v>-15.589383628800007</v>
      </c>
      <c r="R41" s="63">
        <f t="shared" si="23"/>
        <v>-17.86224</v>
      </c>
      <c r="S41" s="63">
        <f t="shared" si="23"/>
        <v>-17.86224</v>
      </c>
      <c r="T41" s="63">
        <f t="shared" si="23"/>
        <v>-17.86224</v>
      </c>
      <c r="U41" s="63">
        <f t="shared" si="23"/>
        <v>-17.86224</v>
      </c>
      <c r="V41" s="63">
        <f t="shared" si="23"/>
        <v>-17.86224</v>
      </c>
      <c r="W41" s="63">
        <f t="shared" si="23"/>
        <v>-17.86224</v>
      </c>
      <c r="X41" s="63">
        <f t="shared" si="23"/>
        <v>-17.86224</v>
      </c>
      <c r="Y41" s="63">
        <f t="shared" si="23"/>
        <v>0</v>
      </c>
      <c r="Z41" s="63">
        <f t="shared" si="23"/>
        <v>0</v>
      </c>
      <c r="AA41" s="63">
        <f t="shared" si="23"/>
        <v>0</v>
      </c>
      <c r="AB41" s="63">
        <f t="shared" si="23"/>
        <v>0</v>
      </c>
      <c r="AC41" s="63">
        <f t="shared" si="23"/>
        <v>0</v>
      </c>
      <c r="AD41" s="63">
        <f t="shared" si="23"/>
        <v>0</v>
      </c>
      <c r="AE41" s="63">
        <f t="shared" si="23"/>
        <v>0</v>
      </c>
      <c r="AF41" s="67">
        <f t="shared" si="23"/>
        <v>0</v>
      </c>
    </row>
    <row r="42" spans="2:34" x14ac:dyDescent="0.25">
      <c r="F42" s="383" t="s">
        <v>268</v>
      </c>
      <c r="G42" s="382" t="s">
        <v>0</v>
      </c>
      <c r="H42" s="381">
        <f t="shared" ref="H42:AF42" si="24">$C$22*H41</f>
        <v>64.069256736000014</v>
      </c>
      <c r="I42" s="63">
        <f t="shared" si="24"/>
        <v>12.551579535999998</v>
      </c>
      <c r="J42" s="63">
        <f t="shared" si="24"/>
        <v>5.0580992160000022</v>
      </c>
      <c r="K42" s="63">
        <f t="shared" si="24"/>
        <v>0.56201102400000169</v>
      </c>
      <c r="L42" s="63">
        <f t="shared" si="24"/>
        <v>-2.1356418911999979</v>
      </c>
      <c r="M42" s="63">
        <f t="shared" si="24"/>
        <v>-3.7542336403199998</v>
      </c>
      <c r="N42" s="63">
        <f t="shared" si="24"/>
        <v>-4.7253886897919992</v>
      </c>
      <c r="O42" s="63">
        <f t="shared" si="24"/>
        <v>-5.3080817194752017</v>
      </c>
      <c r="P42" s="63">
        <f t="shared" si="24"/>
        <v>-5.6576975372851201</v>
      </c>
      <c r="Q42" s="63">
        <f t="shared" si="24"/>
        <v>-5.3954856739276824</v>
      </c>
      <c r="R42" s="63">
        <f t="shared" si="24"/>
        <v>-6.1821212640000001</v>
      </c>
      <c r="S42" s="63">
        <f t="shared" si="24"/>
        <v>-6.1821212640000001</v>
      </c>
      <c r="T42" s="63">
        <f t="shared" si="24"/>
        <v>-6.1821212640000001</v>
      </c>
      <c r="U42" s="63">
        <f t="shared" si="24"/>
        <v>-6.1821212640000001</v>
      </c>
      <c r="V42" s="63">
        <f t="shared" si="24"/>
        <v>-6.1821212640000001</v>
      </c>
      <c r="W42" s="63">
        <f t="shared" si="24"/>
        <v>-6.1821212640000001</v>
      </c>
      <c r="X42" s="63">
        <f t="shared" si="24"/>
        <v>-6.1821212640000001</v>
      </c>
      <c r="Y42" s="63">
        <f t="shared" si="24"/>
        <v>0</v>
      </c>
      <c r="Z42" s="63">
        <f t="shared" si="24"/>
        <v>0</v>
      </c>
      <c r="AA42" s="63">
        <f t="shared" si="24"/>
        <v>0</v>
      </c>
      <c r="AB42" s="63">
        <f t="shared" si="24"/>
        <v>0</v>
      </c>
      <c r="AC42" s="63">
        <f t="shared" si="24"/>
        <v>0</v>
      </c>
      <c r="AD42" s="63">
        <f t="shared" si="24"/>
        <v>0</v>
      </c>
      <c r="AE42" s="63">
        <f t="shared" si="24"/>
        <v>0</v>
      </c>
      <c r="AF42" s="67">
        <f t="shared" si="24"/>
        <v>0</v>
      </c>
      <c r="AG42" s="385" t="s">
        <v>267</v>
      </c>
      <c r="AH42" s="384" t="s">
        <v>378</v>
      </c>
    </row>
    <row r="43" spans="2:34" x14ac:dyDescent="0.25">
      <c r="F43" s="383" t="s">
        <v>266</v>
      </c>
      <c r="G43" s="382" t="s">
        <v>0</v>
      </c>
      <c r="H43" s="381">
        <f t="shared" ref="H43:AF43" si="25">H42/H16</f>
        <v>59.594829277948236</v>
      </c>
      <c r="I43" s="63">
        <f t="shared" si="25"/>
        <v>10.85965856157134</v>
      </c>
      <c r="J43" s="63">
        <f t="shared" si="25"/>
        <v>4.0706524717557135</v>
      </c>
      <c r="K43" s="63">
        <f t="shared" si="25"/>
        <v>0.42070765200529053</v>
      </c>
      <c r="L43" s="63">
        <f t="shared" si="25"/>
        <v>-1.4870408602033425</v>
      </c>
      <c r="M43" s="63">
        <f t="shared" si="25"/>
        <v>-2.4315021732511779</v>
      </c>
      <c r="N43" s="63">
        <f t="shared" si="25"/>
        <v>-2.8467530643099788</v>
      </c>
      <c r="O43" s="63">
        <f t="shared" si="25"/>
        <v>-2.9744642522872895</v>
      </c>
      <c r="P43" s="63">
        <f t="shared" si="25"/>
        <v>-2.9489660577180317</v>
      </c>
      <c r="Q43" s="63">
        <f t="shared" si="25"/>
        <v>-2.6158900481074685</v>
      </c>
      <c r="R43" s="63">
        <f t="shared" si="25"/>
        <v>-2.7879524072234032</v>
      </c>
      <c r="S43" s="63">
        <f t="shared" si="25"/>
        <v>-2.5932491838970644</v>
      </c>
      <c r="T43" s="63">
        <f t="shared" si="25"/>
        <v>-2.412143518791392</v>
      </c>
      <c r="U43" s="63">
        <f t="shared" si="25"/>
        <v>-2.2436857943992599</v>
      </c>
      <c r="V43" s="63">
        <f t="shared" si="25"/>
        <v>-2.0869927119889593</v>
      </c>
      <c r="W43" s="63">
        <f t="shared" si="25"/>
        <v>-1.941242660076302</v>
      </c>
      <c r="X43" s="63">
        <f t="shared" si="25"/>
        <v>-1.80567140635039</v>
      </c>
      <c r="Y43" s="63">
        <f t="shared" si="25"/>
        <v>0</v>
      </c>
      <c r="Z43" s="63">
        <f t="shared" si="25"/>
        <v>0</v>
      </c>
      <c r="AA43" s="63">
        <f t="shared" si="25"/>
        <v>0</v>
      </c>
      <c r="AB43" s="63">
        <f t="shared" si="25"/>
        <v>0</v>
      </c>
      <c r="AC43" s="63">
        <f t="shared" si="25"/>
        <v>0</v>
      </c>
      <c r="AD43" s="63">
        <f t="shared" si="25"/>
        <v>0</v>
      </c>
      <c r="AE43" s="63">
        <f t="shared" si="25"/>
        <v>0</v>
      </c>
      <c r="AF43" s="67">
        <f t="shared" si="25"/>
        <v>0</v>
      </c>
      <c r="AG43" s="380">
        <f>SUM(H43:AF43)</f>
        <v>43.770293824676521</v>
      </c>
      <c r="AH43" s="379">
        <f>(AG43*100000)/AG24</f>
        <v>0.21859984798208626</v>
      </c>
    </row>
    <row r="44" spans="2:34" ht="15.75" thickBot="1" x14ac:dyDescent="0.3">
      <c r="F44" s="378" t="s">
        <v>379</v>
      </c>
      <c r="G44" s="377" t="s">
        <v>0</v>
      </c>
      <c r="H44" s="376">
        <f t="shared" ref="H44:AF44" si="26">(H43*100000)/1000000</f>
        <v>5.9594829277948236</v>
      </c>
      <c r="I44" s="119">
        <f t="shared" si="26"/>
        <v>1.0859658561571341</v>
      </c>
      <c r="J44" s="119">
        <f t="shared" si="26"/>
        <v>0.40706524717557135</v>
      </c>
      <c r="K44" s="119">
        <f t="shared" si="26"/>
        <v>4.2070765200529048E-2</v>
      </c>
      <c r="L44" s="119">
        <f t="shared" si="26"/>
        <v>-0.14870408602033425</v>
      </c>
      <c r="M44" s="119">
        <f t="shared" si="26"/>
        <v>-0.2431502173251178</v>
      </c>
      <c r="N44" s="119">
        <f t="shared" si="26"/>
        <v>-0.28467530643099787</v>
      </c>
      <c r="O44" s="119">
        <f t="shared" si="26"/>
        <v>-0.29744642522872899</v>
      </c>
      <c r="P44" s="119">
        <f t="shared" si="26"/>
        <v>-0.29489660577180316</v>
      </c>
      <c r="Q44" s="119">
        <f t="shared" si="26"/>
        <v>-0.26158900481074687</v>
      </c>
      <c r="R44" s="119">
        <f t="shared" si="26"/>
        <v>-0.2787952407223403</v>
      </c>
      <c r="S44" s="119">
        <f t="shared" si="26"/>
        <v>-0.25932491838970645</v>
      </c>
      <c r="T44" s="119">
        <f t="shared" si="26"/>
        <v>-0.2412143518791392</v>
      </c>
      <c r="U44" s="119">
        <f t="shared" si="26"/>
        <v>-0.224368579439926</v>
      </c>
      <c r="V44" s="119">
        <f t="shared" si="26"/>
        <v>-0.20869927119889595</v>
      </c>
      <c r="W44" s="119">
        <f t="shared" si="26"/>
        <v>-0.19412426600763019</v>
      </c>
      <c r="X44" s="119">
        <f t="shared" si="26"/>
        <v>-0.18056714063503901</v>
      </c>
      <c r="Y44" s="119">
        <f t="shared" si="26"/>
        <v>0</v>
      </c>
      <c r="Z44" s="119">
        <f t="shared" si="26"/>
        <v>0</v>
      </c>
      <c r="AA44" s="119">
        <f t="shared" si="26"/>
        <v>0</v>
      </c>
      <c r="AB44" s="119">
        <f t="shared" si="26"/>
        <v>0</v>
      </c>
      <c r="AC44" s="119">
        <f t="shared" si="26"/>
        <v>0</v>
      </c>
      <c r="AD44" s="119">
        <f t="shared" si="26"/>
        <v>0</v>
      </c>
      <c r="AE44" s="119">
        <f t="shared" si="26"/>
        <v>0</v>
      </c>
      <c r="AF44" s="120">
        <f t="shared" si="26"/>
        <v>0</v>
      </c>
    </row>
    <row r="46" spans="2:34" x14ac:dyDescent="0.25">
      <c r="F46" s="2" t="s">
        <v>265</v>
      </c>
    </row>
    <row r="47" spans="2:34" ht="15.75" thickBot="1" x14ac:dyDescent="0.3">
      <c r="F47" s="2"/>
    </row>
    <row r="48" spans="2:34" ht="15.75" thickBot="1" x14ac:dyDescent="0.3">
      <c r="F48" s="375"/>
      <c r="G48" s="130" t="s">
        <v>1</v>
      </c>
      <c r="H48" s="374">
        <v>1</v>
      </c>
      <c r="I48" s="373">
        <v>2</v>
      </c>
      <c r="J48" s="373">
        <v>3</v>
      </c>
      <c r="K48" s="373">
        <v>4</v>
      </c>
      <c r="L48" s="373">
        <v>5</v>
      </c>
      <c r="M48" s="373">
        <v>6</v>
      </c>
      <c r="N48" s="373">
        <v>7</v>
      </c>
      <c r="O48" s="373">
        <v>8</v>
      </c>
      <c r="P48" s="373">
        <v>9</v>
      </c>
      <c r="Q48" s="373">
        <v>10</v>
      </c>
      <c r="R48" s="373">
        <v>11</v>
      </c>
      <c r="S48" s="373">
        <v>12</v>
      </c>
      <c r="T48" s="373">
        <v>13</v>
      </c>
      <c r="U48" s="373">
        <v>14</v>
      </c>
      <c r="V48" s="373">
        <v>15</v>
      </c>
      <c r="W48" s="373">
        <v>16</v>
      </c>
      <c r="X48" s="373">
        <v>17</v>
      </c>
      <c r="Y48" s="373">
        <v>18</v>
      </c>
      <c r="Z48" s="373">
        <v>19</v>
      </c>
      <c r="AA48" s="373">
        <v>20</v>
      </c>
      <c r="AB48" s="373">
        <v>21</v>
      </c>
      <c r="AC48" s="373">
        <v>22</v>
      </c>
      <c r="AD48" s="373">
        <v>23</v>
      </c>
      <c r="AE48" s="373">
        <v>24</v>
      </c>
      <c r="AF48" s="372">
        <v>25</v>
      </c>
    </row>
    <row r="49" spans="6:32" x14ac:dyDescent="0.25">
      <c r="F49" s="371" t="s">
        <v>264</v>
      </c>
      <c r="G49" s="370" t="s">
        <v>0</v>
      </c>
      <c r="H49" s="76">
        <f>$D$33</f>
        <v>0.30484</v>
      </c>
      <c r="I49" s="77">
        <f>$D$33</f>
        <v>0.30484</v>
      </c>
      <c r="J49" s="77">
        <f t="shared" ref="J49:AF49" si="27">I49*(1+D35)</f>
        <v>0.32008200000000003</v>
      </c>
      <c r="K49" s="77">
        <f t="shared" si="27"/>
        <v>0.32008200000000003</v>
      </c>
      <c r="L49" s="77">
        <f t="shared" si="27"/>
        <v>0.32008200000000003</v>
      </c>
      <c r="M49" s="77">
        <f t="shared" si="27"/>
        <v>0.32008200000000003</v>
      </c>
      <c r="N49" s="77">
        <f t="shared" si="27"/>
        <v>0.32008200000000003</v>
      </c>
      <c r="O49" s="77">
        <f t="shared" si="27"/>
        <v>0.32008200000000003</v>
      </c>
      <c r="P49" s="77">
        <f t="shared" si="27"/>
        <v>0.32008200000000003</v>
      </c>
      <c r="Q49" s="77">
        <f t="shared" si="27"/>
        <v>0.32008200000000003</v>
      </c>
      <c r="R49" s="77">
        <f t="shared" si="27"/>
        <v>0.32008200000000003</v>
      </c>
      <c r="S49" s="77">
        <f t="shared" si="27"/>
        <v>0.32008200000000003</v>
      </c>
      <c r="T49" s="77">
        <f t="shared" si="27"/>
        <v>0.32008200000000003</v>
      </c>
      <c r="U49" s="77">
        <f t="shared" si="27"/>
        <v>0.32008200000000003</v>
      </c>
      <c r="V49" s="77">
        <f t="shared" si="27"/>
        <v>0.32008200000000003</v>
      </c>
      <c r="W49" s="77">
        <f t="shared" si="27"/>
        <v>0.32008200000000003</v>
      </c>
      <c r="X49" s="77">
        <f t="shared" si="27"/>
        <v>0.32008200000000003</v>
      </c>
      <c r="Y49" s="77">
        <f t="shared" si="27"/>
        <v>0.32008200000000003</v>
      </c>
      <c r="Z49" s="77">
        <f t="shared" si="27"/>
        <v>0.32008200000000003</v>
      </c>
      <c r="AA49" s="77">
        <f t="shared" si="27"/>
        <v>0.32008200000000003</v>
      </c>
      <c r="AB49" s="77">
        <f t="shared" si="27"/>
        <v>0.32008200000000003</v>
      </c>
      <c r="AC49" s="77">
        <f t="shared" si="27"/>
        <v>0.32008200000000003</v>
      </c>
      <c r="AD49" s="77">
        <f t="shared" si="27"/>
        <v>0.32008200000000003</v>
      </c>
      <c r="AE49" s="77">
        <f t="shared" si="27"/>
        <v>0.32008200000000003</v>
      </c>
      <c r="AF49" s="78">
        <f t="shared" si="27"/>
        <v>0.32008200000000003</v>
      </c>
    </row>
    <row r="50" spans="6:32" x14ac:dyDescent="0.25">
      <c r="F50" s="369" t="s">
        <v>263</v>
      </c>
      <c r="G50" s="368" t="s">
        <v>0</v>
      </c>
      <c r="H50" s="70">
        <f t="shared" ref="H50:AF50" si="28">$D$36</f>
        <v>1</v>
      </c>
      <c r="I50" s="63">
        <f t="shared" si="28"/>
        <v>1</v>
      </c>
      <c r="J50" s="63">
        <f t="shared" si="28"/>
        <v>1</v>
      </c>
      <c r="K50" s="63">
        <f t="shared" si="28"/>
        <v>1</v>
      </c>
      <c r="L50" s="63">
        <f t="shared" si="28"/>
        <v>1</v>
      </c>
      <c r="M50" s="63">
        <f t="shared" si="28"/>
        <v>1</v>
      </c>
      <c r="N50" s="63">
        <f t="shared" si="28"/>
        <v>1</v>
      </c>
      <c r="O50" s="63">
        <f t="shared" si="28"/>
        <v>1</v>
      </c>
      <c r="P50" s="63">
        <f t="shared" si="28"/>
        <v>1</v>
      </c>
      <c r="Q50" s="63">
        <f t="shared" si="28"/>
        <v>1</v>
      </c>
      <c r="R50" s="63">
        <f t="shared" si="28"/>
        <v>1</v>
      </c>
      <c r="S50" s="63">
        <f t="shared" si="28"/>
        <v>1</v>
      </c>
      <c r="T50" s="63">
        <f t="shared" si="28"/>
        <v>1</v>
      </c>
      <c r="U50" s="63">
        <f t="shared" si="28"/>
        <v>1</v>
      </c>
      <c r="V50" s="63">
        <f t="shared" si="28"/>
        <v>1</v>
      </c>
      <c r="W50" s="63">
        <f t="shared" si="28"/>
        <v>1</v>
      </c>
      <c r="X50" s="63">
        <f t="shared" si="28"/>
        <v>1</v>
      </c>
      <c r="Y50" s="63">
        <f t="shared" si="28"/>
        <v>1</v>
      </c>
      <c r="Z50" s="63">
        <f t="shared" si="28"/>
        <v>1</v>
      </c>
      <c r="AA50" s="63">
        <f t="shared" si="28"/>
        <v>1</v>
      </c>
      <c r="AB50" s="63">
        <f t="shared" si="28"/>
        <v>1</v>
      </c>
      <c r="AC50" s="63">
        <f t="shared" si="28"/>
        <v>1</v>
      </c>
      <c r="AD50" s="63">
        <f t="shared" si="28"/>
        <v>1</v>
      </c>
      <c r="AE50" s="63">
        <f t="shared" si="28"/>
        <v>1</v>
      </c>
      <c r="AF50" s="67">
        <f t="shared" si="28"/>
        <v>1</v>
      </c>
    </row>
    <row r="51" spans="6:32" ht="15.75" thickBot="1" x14ac:dyDescent="0.3">
      <c r="F51" s="367" t="s">
        <v>262</v>
      </c>
      <c r="G51" s="366" t="s">
        <v>0</v>
      </c>
      <c r="H51" s="365">
        <f>D30</f>
        <v>1.0071399999999999</v>
      </c>
      <c r="I51" s="241">
        <f t="shared" ref="I51:AF51" si="29">H51*(1+$D$31)</f>
        <v>1.1078540000000001</v>
      </c>
      <c r="J51" s="241">
        <f t="shared" si="29"/>
        <v>1.2186394000000003</v>
      </c>
      <c r="K51" s="241">
        <f t="shared" si="29"/>
        <v>1.3405033400000004</v>
      </c>
      <c r="L51" s="241">
        <f t="shared" si="29"/>
        <v>1.4745536740000005</v>
      </c>
      <c r="M51" s="241">
        <f t="shared" si="29"/>
        <v>1.6220090414000006</v>
      </c>
      <c r="N51" s="241">
        <f t="shared" si="29"/>
        <v>1.7842099455400007</v>
      </c>
      <c r="O51" s="241">
        <f t="shared" si="29"/>
        <v>1.962630940094001</v>
      </c>
      <c r="P51" s="241">
        <f t="shared" si="29"/>
        <v>2.1588940341034011</v>
      </c>
      <c r="Q51" s="241">
        <f t="shared" si="29"/>
        <v>2.3747834375137415</v>
      </c>
      <c r="R51" s="241">
        <f t="shared" si="29"/>
        <v>2.6122617812651159</v>
      </c>
      <c r="S51" s="241">
        <f t="shared" si="29"/>
        <v>2.8734879593916278</v>
      </c>
      <c r="T51" s="241">
        <f t="shared" si="29"/>
        <v>3.160836755330791</v>
      </c>
      <c r="U51" s="241">
        <f t="shared" si="29"/>
        <v>3.4769204308638706</v>
      </c>
      <c r="V51" s="241">
        <f t="shared" si="29"/>
        <v>3.8246124739502578</v>
      </c>
      <c r="W51" s="241">
        <f t="shared" si="29"/>
        <v>4.2070737213452842</v>
      </c>
      <c r="X51" s="241">
        <f t="shared" si="29"/>
        <v>4.6277810934798129</v>
      </c>
      <c r="Y51" s="241">
        <f t="shared" si="29"/>
        <v>5.0905592028277944</v>
      </c>
      <c r="Z51" s="241">
        <f t="shared" si="29"/>
        <v>5.5996151231105742</v>
      </c>
      <c r="AA51" s="241">
        <f t="shared" si="29"/>
        <v>6.1595766354216321</v>
      </c>
      <c r="AB51" s="241">
        <f t="shared" si="29"/>
        <v>6.7755342989637963</v>
      </c>
      <c r="AC51" s="241">
        <f t="shared" si="29"/>
        <v>7.4530877288601767</v>
      </c>
      <c r="AD51" s="241">
        <f t="shared" si="29"/>
        <v>8.1983965017461955</v>
      </c>
      <c r="AE51" s="241">
        <f t="shared" si="29"/>
        <v>9.0182361519208154</v>
      </c>
      <c r="AF51" s="164">
        <f t="shared" si="29"/>
        <v>9.9200597671128978</v>
      </c>
    </row>
    <row r="52" spans="6:32" ht="15.75" thickBot="1" x14ac:dyDescent="0.3">
      <c r="F52" s="364" t="s">
        <v>2</v>
      </c>
      <c r="G52" s="323" t="s">
        <v>0</v>
      </c>
      <c r="H52" s="363">
        <f t="shared" ref="H52:AF52" si="30">SUM(H49:H51)</f>
        <v>2.3119800000000001</v>
      </c>
      <c r="I52" s="362">
        <f t="shared" si="30"/>
        <v>2.4126940000000001</v>
      </c>
      <c r="J52" s="362">
        <f t="shared" si="30"/>
        <v>2.5387214</v>
      </c>
      <c r="K52" s="362">
        <f t="shared" si="30"/>
        <v>2.6605853400000004</v>
      </c>
      <c r="L52" s="362">
        <f t="shared" si="30"/>
        <v>2.7946356740000002</v>
      </c>
      <c r="M52" s="362">
        <f t="shared" si="30"/>
        <v>2.9420910414000003</v>
      </c>
      <c r="N52" s="362">
        <f t="shared" si="30"/>
        <v>3.1042919455400009</v>
      </c>
      <c r="O52" s="362">
        <f t="shared" si="30"/>
        <v>3.2827129400940009</v>
      </c>
      <c r="P52" s="362">
        <f t="shared" si="30"/>
        <v>3.4789760341034013</v>
      </c>
      <c r="Q52" s="362">
        <f t="shared" si="30"/>
        <v>3.6948654375137417</v>
      </c>
      <c r="R52" s="362">
        <f t="shared" si="30"/>
        <v>3.9323437812651161</v>
      </c>
      <c r="S52" s="362">
        <f t="shared" si="30"/>
        <v>4.1935699593916276</v>
      </c>
      <c r="T52" s="362">
        <f t="shared" si="30"/>
        <v>4.4809187553307908</v>
      </c>
      <c r="U52" s="362">
        <f t="shared" si="30"/>
        <v>4.7970024308638708</v>
      </c>
      <c r="V52" s="362">
        <f t="shared" si="30"/>
        <v>5.144694473950258</v>
      </c>
      <c r="W52" s="362">
        <f t="shared" si="30"/>
        <v>5.5271557213452844</v>
      </c>
      <c r="X52" s="362">
        <f t="shared" si="30"/>
        <v>5.9478630934798131</v>
      </c>
      <c r="Y52" s="362">
        <f t="shared" si="30"/>
        <v>6.4106412028277946</v>
      </c>
      <c r="Z52" s="362">
        <f t="shared" si="30"/>
        <v>6.9196971231105744</v>
      </c>
      <c r="AA52" s="362">
        <f t="shared" si="30"/>
        <v>7.4796586354216323</v>
      </c>
      <c r="AB52" s="362">
        <f t="shared" si="30"/>
        <v>8.0956162989637956</v>
      </c>
      <c r="AC52" s="362">
        <f t="shared" si="30"/>
        <v>8.7731697288601769</v>
      </c>
      <c r="AD52" s="362">
        <f t="shared" si="30"/>
        <v>9.5184785017461948</v>
      </c>
      <c r="AE52" s="362">
        <f t="shared" si="30"/>
        <v>10.338318151920815</v>
      </c>
      <c r="AF52" s="361">
        <f t="shared" si="30"/>
        <v>11.240141767112897</v>
      </c>
    </row>
  </sheetData>
  <mergeCells count="4">
    <mergeCell ref="A16:A18"/>
    <mergeCell ref="A19:A21"/>
    <mergeCell ref="B29:D29"/>
    <mergeCell ref="B32:D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33F8-04BD-4735-8C30-90596805BB91}">
  <sheetPr>
    <tabColor rgb="FFFFFF00"/>
  </sheetPr>
  <dimension ref="A1:XFD48"/>
  <sheetViews>
    <sheetView topLeftCell="A16" workbookViewId="0">
      <selection activeCell="C44" sqref="C44"/>
    </sheetView>
  </sheetViews>
  <sheetFormatPr defaultRowHeight="15" x14ac:dyDescent="0.25"/>
  <cols>
    <col min="2" max="2" width="43.28515625" bestFit="1" customWidth="1"/>
    <col min="6" max="6" width="31.140625" bestFit="1" customWidth="1"/>
    <col min="7" max="7" width="15" style="12" bestFit="1" customWidth="1"/>
    <col min="8" max="9" width="9.28515625" customWidth="1"/>
    <col min="34" max="34" width="16.140625" bestFit="1" customWidth="1"/>
  </cols>
  <sheetData>
    <row r="1" spans="1:44" ht="15.75" thickBot="1" x14ac:dyDescent="0.3"/>
    <row r="2" spans="1:44" ht="15.75" thickBot="1" x14ac:dyDescent="0.3">
      <c r="B2" s="451" t="s">
        <v>307</v>
      </c>
      <c r="C2" s="450">
        <f>'S - SPM Pre-GST'!C2</f>
        <v>1</v>
      </c>
    </row>
    <row r="3" spans="1:44" ht="45.75" thickBot="1" x14ac:dyDescent="0.3">
      <c r="B3" s="451" t="s">
        <v>306</v>
      </c>
      <c r="C3" s="450">
        <f>'S - SPM Pre-GST'!C3</f>
        <v>1797552</v>
      </c>
      <c r="F3" s="470" t="s">
        <v>242</v>
      </c>
      <c r="G3" s="469" t="s">
        <v>381</v>
      </c>
      <c r="H3" s="468" t="s">
        <v>239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75" thickBot="1" x14ac:dyDescent="0.3">
      <c r="B4" s="446" t="s">
        <v>305</v>
      </c>
      <c r="C4" s="445">
        <f>'S - SPM Pre-GST'!C4</f>
        <v>0.20519999999999999</v>
      </c>
      <c r="F4" s="13" t="s">
        <v>304</v>
      </c>
      <c r="G4" s="467">
        <f>AH25</f>
        <v>0.47701988054449407</v>
      </c>
      <c r="H4" s="466">
        <f ca="1">G4/$G$10</f>
        <v>0.16448961398086004</v>
      </c>
    </row>
    <row r="5" spans="1:44" x14ac:dyDescent="0.25">
      <c r="B5" s="442" t="s">
        <v>310</v>
      </c>
      <c r="C5" s="441"/>
      <c r="F5" s="16" t="s">
        <v>75</v>
      </c>
      <c r="G5" s="465">
        <f>AH26</f>
        <v>1.1380409282438551</v>
      </c>
      <c r="H5" s="464">
        <f ca="1">G5/$G$10</f>
        <v>0.39242790629098451</v>
      </c>
    </row>
    <row r="6" spans="1:44" x14ac:dyDescent="0.25">
      <c r="B6" s="396" t="s">
        <v>236</v>
      </c>
      <c r="C6" s="440">
        <v>0</v>
      </c>
      <c r="F6" s="16" t="s">
        <v>229</v>
      </c>
      <c r="G6" s="465">
        <f>AH27</f>
        <v>0.55808499559400793</v>
      </c>
      <c r="H6" s="464">
        <f ca="1">G6/$G$10</f>
        <v>0.19244310192896827</v>
      </c>
    </row>
    <row r="7" spans="1:44" x14ac:dyDescent="0.25">
      <c r="B7" s="396" t="s">
        <v>234</v>
      </c>
      <c r="C7" s="439">
        <v>0</v>
      </c>
      <c r="F7" s="16" t="s">
        <v>230</v>
      </c>
      <c r="G7" s="465">
        <f ca="1">AH28</f>
        <v>0.96400466566220866</v>
      </c>
      <c r="H7" s="464">
        <f ca="1">G7/$G$10</f>
        <v>0.33241540195248576</v>
      </c>
    </row>
    <row r="8" spans="1:44" x14ac:dyDescent="0.25">
      <c r="B8" s="396" t="s">
        <v>233</v>
      </c>
      <c r="C8" s="439">
        <v>0</v>
      </c>
      <c r="F8" s="18" t="s">
        <v>13</v>
      </c>
      <c r="G8" s="463">
        <f ca="1">SUM(G4:G7)</f>
        <v>3.1371504700445656</v>
      </c>
      <c r="H8" s="368"/>
    </row>
    <row r="9" spans="1:44" ht="15.75" thickBot="1" x14ac:dyDescent="0.3">
      <c r="B9" s="438" t="s">
        <v>13</v>
      </c>
      <c r="C9" s="437">
        <f>'S - Solar Park Model'!L7</f>
        <v>358.28100000000001</v>
      </c>
      <c r="F9" s="20" t="s">
        <v>300</v>
      </c>
      <c r="G9" s="462">
        <f>-AH39</f>
        <v>-0.23151100246783876</v>
      </c>
      <c r="H9" s="461">
        <f ca="1">G9/$G$10</f>
        <v>-7.9831380161323712E-2</v>
      </c>
    </row>
    <row r="10" spans="1:44" ht="15.75" thickBot="1" x14ac:dyDescent="0.3">
      <c r="B10" s="394" t="s">
        <v>309</v>
      </c>
      <c r="C10" s="435">
        <f>SUM(H18:AF18)</f>
        <v>95.51379163518726</v>
      </c>
      <c r="F10" s="429" t="s">
        <v>299</v>
      </c>
      <c r="G10" s="460">
        <f ca="1">ROUNDDOWN(SUM(G8:G9),2)</f>
        <v>2.9</v>
      </c>
    </row>
    <row r="11" spans="1:44" ht="15.75" thickBot="1" x14ac:dyDescent="0.3">
      <c r="B11" s="433" t="s">
        <v>301</v>
      </c>
      <c r="C11" s="432">
        <f>SUM(C9:C10)</f>
        <v>453.79479163518727</v>
      </c>
    </row>
    <row r="14" spans="1:44" ht="15.75" thickBot="1" x14ac:dyDescent="0.3">
      <c r="G14" s="32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4" ht="15.75" thickBot="1" x14ac:dyDescent="0.3">
      <c r="F15" s="427"/>
      <c r="G15" s="130" t="s">
        <v>1</v>
      </c>
      <c r="H15" s="374">
        <v>1</v>
      </c>
      <c r="I15" s="373">
        <v>2</v>
      </c>
      <c r="J15" s="373">
        <v>3</v>
      </c>
      <c r="K15" s="373">
        <v>4</v>
      </c>
      <c r="L15" s="373">
        <v>5</v>
      </c>
      <c r="M15" s="373">
        <v>6</v>
      </c>
      <c r="N15" s="373">
        <v>7</v>
      </c>
      <c r="O15" s="373">
        <v>8</v>
      </c>
      <c r="P15" s="373">
        <v>9</v>
      </c>
      <c r="Q15" s="373">
        <v>10</v>
      </c>
      <c r="R15" s="373">
        <v>11</v>
      </c>
      <c r="S15" s="373">
        <v>12</v>
      </c>
      <c r="T15" s="373">
        <v>13</v>
      </c>
      <c r="U15" s="373">
        <v>14</v>
      </c>
      <c r="V15" s="373">
        <v>15</v>
      </c>
      <c r="W15" s="373">
        <v>16</v>
      </c>
      <c r="X15" s="373">
        <v>17</v>
      </c>
      <c r="Y15" s="373">
        <v>18</v>
      </c>
      <c r="Z15" s="373">
        <v>19</v>
      </c>
      <c r="AA15" s="373">
        <v>20</v>
      </c>
      <c r="AB15" s="373">
        <v>21</v>
      </c>
      <c r="AC15" s="373">
        <v>22</v>
      </c>
      <c r="AD15" s="373">
        <v>23</v>
      </c>
      <c r="AE15" s="373">
        <v>24</v>
      </c>
      <c r="AF15" s="372">
        <v>25</v>
      </c>
    </row>
    <row r="16" spans="1:44" x14ac:dyDescent="0.25">
      <c r="A16" s="549" t="s">
        <v>33</v>
      </c>
      <c r="B16" s="352" t="s">
        <v>298</v>
      </c>
      <c r="C16" s="426">
        <f>'S - SPM Pre-GST'!C16</f>
        <v>0.8</v>
      </c>
      <c r="D16" s="106"/>
      <c r="F16" s="410" t="s">
        <v>83</v>
      </c>
      <c r="G16" s="459"/>
      <c r="H16" s="458">
        <f>1+C23</f>
        <v>1.0750808000000001</v>
      </c>
      <c r="I16" s="213">
        <f>H16^2</f>
        <v>1.15579872652864</v>
      </c>
      <c r="J16" s="213">
        <f t="shared" ref="J16:AF16" si="0">$I$16*H16</f>
        <v>1.2425770195553916</v>
      </c>
      <c r="K16" s="213">
        <f t="shared" si="0"/>
        <v>1.335870696245226</v>
      </c>
      <c r="L16" s="213">
        <f t="shared" si="0"/>
        <v>1.4361689368158745</v>
      </c>
      <c r="M16" s="213">
        <f t="shared" si="0"/>
        <v>1.5439976495271599</v>
      </c>
      <c r="N16" s="213">
        <f t="shared" si="0"/>
        <v>1.6599222282517787</v>
      </c>
      <c r="O16" s="213">
        <f t="shared" si="0"/>
        <v>1.7845505170867049</v>
      </c>
      <c r="P16" s="213">
        <f t="shared" si="0"/>
        <v>1.9185359975499883</v>
      </c>
      <c r="Q16" s="213">
        <f t="shared" si="0"/>
        <v>2.0625812150748395</v>
      </c>
      <c r="R16" s="213">
        <f t="shared" si="0"/>
        <v>2.2174414627676304</v>
      </c>
      <c r="S16" s="213">
        <f t="shared" si="0"/>
        <v>2.3839287417453945</v>
      </c>
      <c r="T16" s="213">
        <f t="shared" si="0"/>
        <v>2.562916018818632</v>
      </c>
      <c r="U16" s="213">
        <f t="shared" si="0"/>
        <v>2.7553418038443502</v>
      </c>
      <c r="V16" s="213">
        <f t="shared" si="0"/>
        <v>2.9622150707504269</v>
      </c>
      <c r="W16" s="213">
        <f t="shared" si="0"/>
        <v>3.1846205480344261</v>
      </c>
      <c r="X16" s="213">
        <f t="shared" si="0"/>
        <v>3.4237244064772887</v>
      </c>
      <c r="Y16" s="213">
        <f t="shared" si="0"/>
        <v>3.6807803738951295</v>
      </c>
      <c r="Z16" s="213">
        <f t="shared" si="0"/>
        <v>3.9571363089914739</v>
      </c>
      <c r="AA16" s="213">
        <f t="shared" si="0"/>
        <v>4.2542412687796025</v>
      </c>
      <c r="AB16" s="213">
        <f t="shared" si="0"/>
        <v>4.5736531066325883</v>
      </c>
      <c r="AC16" s="213">
        <f t="shared" si="0"/>
        <v>4.9170466408010505</v>
      </c>
      <c r="AD16" s="213">
        <f t="shared" si="0"/>
        <v>5.2862224362297034</v>
      </c>
      <c r="AE16" s="213">
        <f t="shared" si="0"/>
        <v>5.6831162457197815</v>
      </c>
      <c r="AF16" s="192">
        <f t="shared" si="0"/>
        <v>6.1098091599414159</v>
      </c>
      <c r="AG16" s="2"/>
      <c r="AH16" s="2"/>
    </row>
    <row r="17" spans="1:34" x14ac:dyDescent="0.25">
      <c r="A17" s="550"/>
      <c r="B17" s="3" t="s">
        <v>297</v>
      </c>
      <c r="C17" s="421">
        <f>'S - SPM Pre-GST'!C17</f>
        <v>0.09</v>
      </c>
      <c r="D17" s="106"/>
      <c r="F17" s="404" t="s">
        <v>308</v>
      </c>
      <c r="G17" s="454" t="s">
        <v>0</v>
      </c>
      <c r="H17" s="70">
        <f>C9*1.5%</f>
        <v>5.3742149999999995</v>
      </c>
      <c r="I17" s="63">
        <f t="shared" ref="I17:AF17" si="1">H17*1.05</f>
        <v>5.6429257499999999</v>
      </c>
      <c r="J17" s="63">
        <f t="shared" si="1"/>
        <v>5.9250720374999997</v>
      </c>
      <c r="K17" s="63">
        <f t="shared" si="1"/>
        <v>6.2213256393750003</v>
      </c>
      <c r="L17" s="63">
        <f t="shared" si="1"/>
        <v>6.5323919213437502</v>
      </c>
      <c r="M17" s="63">
        <f t="shared" si="1"/>
        <v>6.8590115174109378</v>
      </c>
      <c r="N17" s="63">
        <f t="shared" si="1"/>
        <v>7.2019620932814847</v>
      </c>
      <c r="O17" s="63">
        <f t="shared" si="1"/>
        <v>7.5620601979455593</v>
      </c>
      <c r="P17" s="63">
        <f t="shared" si="1"/>
        <v>7.9401632078428372</v>
      </c>
      <c r="Q17" s="63">
        <f t="shared" si="1"/>
        <v>8.33717136823498</v>
      </c>
      <c r="R17" s="63">
        <f t="shared" si="1"/>
        <v>8.7540299366467291</v>
      </c>
      <c r="S17" s="63">
        <f t="shared" si="1"/>
        <v>9.1917314334790667</v>
      </c>
      <c r="T17" s="63">
        <f t="shared" si="1"/>
        <v>9.651318005153021</v>
      </c>
      <c r="U17" s="63">
        <f t="shared" si="1"/>
        <v>10.133883905410672</v>
      </c>
      <c r="V17" s="63">
        <f t="shared" si="1"/>
        <v>10.640578100681205</v>
      </c>
      <c r="W17" s="63">
        <f t="shared" si="1"/>
        <v>11.172607005715266</v>
      </c>
      <c r="X17" s="63">
        <f t="shared" si="1"/>
        <v>11.73123735600103</v>
      </c>
      <c r="Y17" s="63">
        <f t="shared" si="1"/>
        <v>12.317799223801082</v>
      </c>
      <c r="Z17" s="63">
        <f t="shared" si="1"/>
        <v>12.933689184991136</v>
      </c>
      <c r="AA17" s="63">
        <f t="shared" si="1"/>
        <v>13.580373644240694</v>
      </c>
      <c r="AB17" s="63">
        <f t="shared" si="1"/>
        <v>14.25939232645273</v>
      </c>
      <c r="AC17" s="63">
        <f t="shared" si="1"/>
        <v>14.972361942775366</v>
      </c>
      <c r="AD17" s="63">
        <f t="shared" si="1"/>
        <v>15.720980039914135</v>
      </c>
      <c r="AE17" s="63">
        <f t="shared" si="1"/>
        <v>16.507029041909842</v>
      </c>
      <c r="AF17" s="67">
        <f t="shared" si="1"/>
        <v>17.332380494005335</v>
      </c>
    </row>
    <row r="18" spans="1:34" ht="15.75" thickBot="1" x14ac:dyDescent="0.3">
      <c r="A18" s="551"/>
      <c r="B18" s="5" t="s">
        <v>295</v>
      </c>
      <c r="C18" s="60">
        <f>C16*C9</f>
        <v>286.62479999999999</v>
      </c>
      <c r="F18" s="404" t="s">
        <v>294</v>
      </c>
      <c r="G18" s="454" t="s">
        <v>0</v>
      </c>
      <c r="H18" s="70">
        <f t="shared" ref="H18:AF18" si="2">H17/H16</f>
        <v>4.998894036615666</v>
      </c>
      <c r="I18" s="63">
        <f t="shared" si="2"/>
        <v>4.8822737216090637</v>
      </c>
      <c r="J18" s="63">
        <f t="shared" si="2"/>
        <v>4.7683740679672786</v>
      </c>
      <c r="K18" s="63">
        <f t="shared" si="2"/>
        <v>4.6571316047739328</v>
      </c>
      <c r="L18" s="63">
        <f t="shared" si="2"/>
        <v>4.5484843418398224</v>
      </c>
      <c r="M18" s="63">
        <f t="shared" si="2"/>
        <v>4.4423717351587095</v>
      </c>
      <c r="N18" s="63">
        <f t="shared" si="2"/>
        <v>4.3387346531689941</v>
      </c>
      <c r="O18" s="63">
        <f t="shared" si="2"/>
        <v>4.2375153438024791</v>
      </c>
      <c r="P18" s="63">
        <f t="shared" si="2"/>
        <v>4.1386574023018579</v>
      </c>
      <c r="Q18" s="63">
        <f t="shared" si="2"/>
        <v>4.042105739789001</v>
      </c>
      <c r="R18" s="63">
        <f t="shared" si="2"/>
        <v>3.9478065525665147</v>
      </c>
      <c r="S18" s="63">
        <f t="shared" si="2"/>
        <v>3.8557072921354756</v>
      </c>
      <c r="T18" s="63">
        <f t="shared" si="2"/>
        <v>3.7657566359126218</v>
      </c>
      <c r="U18" s="63">
        <f t="shared" si="2"/>
        <v>3.6779044586306928</v>
      </c>
      <c r="V18" s="63">
        <f t="shared" si="2"/>
        <v>3.5921018044059831</v>
      </c>
      <c r="W18" s="63">
        <f t="shared" si="2"/>
        <v>3.5083008594575231</v>
      </c>
      <c r="X18" s="63">
        <f t="shared" si="2"/>
        <v>3.426454925462719</v>
      </c>
      <c r="Y18" s="63">
        <f t="shared" si="2"/>
        <v>3.3465183935345642</v>
      </c>
      <c r="Z18" s="63">
        <f t="shared" si="2"/>
        <v>3.2684467188059667</v>
      </c>
      <c r="AA18" s="63">
        <f t="shared" si="2"/>
        <v>3.1921963956069757</v>
      </c>
      <c r="AB18" s="63">
        <f t="shared" si="2"/>
        <v>3.1177249332211363</v>
      </c>
      <c r="AC18" s="63">
        <f t="shared" si="2"/>
        <v>3.0449908322073949</v>
      </c>
      <c r="AD18" s="63">
        <f t="shared" si="2"/>
        <v>2.973953561274433</v>
      </c>
      <c r="AE18" s="63">
        <f t="shared" si="2"/>
        <v>2.9045735346944648</v>
      </c>
      <c r="AF18" s="67">
        <f t="shared" si="2"/>
        <v>2.8368120902439982</v>
      </c>
      <c r="AG18" s="422"/>
    </row>
    <row r="19" spans="1:34" x14ac:dyDescent="0.25">
      <c r="A19" s="550" t="s">
        <v>34</v>
      </c>
      <c r="B19" s="3" t="s">
        <v>293</v>
      </c>
      <c r="C19" s="421">
        <f>'S - SPM Pre-GST'!C19</f>
        <v>0.2</v>
      </c>
      <c r="D19" s="106"/>
      <c r="F19" s="404" t="s">
        <v>75</v>
      </c>
      <c r="G19" s="454" t="s">
        <v>0</v>
      </c>
      <c r="H19" s="70">
        <f t="shared" ref="H19:S19" si="3">$C$9*$C$24+H48</f>
        <v>23.199762299999996</v>
      </c>
      <c r="I19" s="63">
        <f t="shared" si="3"/>
        <v>23.3004763</v>
      </c>
      <c r="J19" s="63">
        <f t="shared" si="3"/>
        <v>23.426503699999998</v>
      </c>
      <c r="K19" s="63">
        <f t="shared" si="3"/>
        <v>23.564371739999999</v>
      </c>
      <c r="L19" s="63">
        <f t="shared" si="3"/>
        <v>23.715226378999997</v>
      </c>
      <c r="M19" s="63">
        <f t="shared" si="3"/>
        <v>23.880326266649998</v>
      </c>
      <c r="N19" s="63">
        <f t="shared" si="3"/>
        <v>24.061053917052497</v>
      </c>
      <c r="O19" s="63">
        <f t="shared" si="3"/>
        <v>24.258927995182123</v>
      </c>
      <c r="P19" s="63">
        <f t="shared" si="3"/>
        <v>24.475616826945931</v>
      </c>
      <c r="Q19" s="63">
        <f t="shared" si="3"/>
        <v>24.712953254998396</v>
      </c>
      <c r="R19" s="63">
        <f t="shared" si="3"/>
        <v>24.972950974624005</v>
      </c>
      <c r="S19" s="63">
        <f t="shared" si="3"/>
        <v>25.257822497418459</v>
      </c>
      <c r="T19" s="63">
        <f t="shared" ref="T19:AF19" si="4">$C$9*$C$25+T48</f>
        <v>10.199744005258969</v>
      </c>
      <c r="U19" s="63">
        <f t="shared" si="4"/>
        <v>10.541896673288457</v>
      </c>
      <c r="V19" s="63">
        <f t="shared" si="4"/>
        <v>10.916961158496074</v>
      </c>
      <c r="W19" s="63">
        <f t="shared" si="4"/>
        <v>11.32816347011839</v>
      </c>
      <c r="X19" s="63">
        <f t="shared" si="4"/>
        <v>11.779048959691576</v>
      </c>
      <c r="Y19" s="63">
        <f t="shared" si="4"/>
        <v>12.273514092350144</v>
      </c>
      <c r="Z19" s="63">
        <f t="shared" si="4"/>
        <v>12.815841387109042</v>
      </c>
      <c r="AA19" s="63">
        <f t="shared" si="4"/>
        <v>13.410737842620023</v>
      </c>
      <c r="AB19" s="63">
        <f t="shared" si="4"/>
        <v>14.063377196522106</v>
      </c>
      <c r="AC19" s="63">
        <f t="shared" si="4"/>
        <v>14.779446401296402</v>
      </c>
      <c r="AD19" s="63">
        <f t="shared" si="4"/>
        <v>15.565196737804234</v>
      </c>
      <c r="AE19" s="63">
        <f t="shared" si="4"/>
        <v>16.427500029781754</v>
      </c>
      <c r="AF19" s="67">
        <f t="shared" si="4"/>
        <v>17.373910468866882</v>
      </c>
      <c r="AG19" s="422"/>
    </row>
    <row r="20" spans="1:34" x14ac:dyDescent="0.25">
      <c r="A20" s="550"/>
      <c r="B20" s="3" t="s">
        <v>291</v>
      </c>
      <c r="C20" s="421">
        <f>'S - SPM Pre-GST'!C20</f>
        <v>0.14000000000000001</v>
      </c>
      <c r="D20" s="106"/>
      <c r="F20" s="404" t="s">
        <v>229</v>
      </c>
      <c r="G20" s="454" t="s">
        <v>0</v>
      </c>
      <c r="H20" s="70">
        <f t="shared" ref="H20:AF20" si="5">$C$21*$C$20</f>
        <v>10.031868000000001</v>
      </c>
      <c r="I20" s="63">
        <f t="shared" si="5"/>
        <v>10.031868000000001</v>
      </c>
      <c r="J20" s="63">
        <f t="shared" si="5"/>
        <v>10.031868000000001</v>
      </c>
      <c r="K20" s="63">
        <f t="shared" si="5"/>
        <v>10.031868000000001</v>
      </c>
      <c r="L20" s="63">
        <f t="shared" si="5"/>
        <v>10.031868000000001</v>
      </c>
      <c r="M20" s="63">
        <f t="shared" si="5"/>
        <v>10.031868000000001</v>
      </c>
      <c r="N20" s="63">
        <f t="shared" si="5"/>
        <v>10.031868000000001</v>
      </c>
      <c r="O20" s="63">
        <f t="shared" si="5"/>
        <v>10.031868000000001</v>
      </c>
      <c r="P20" s="63">
        <f t="shared" si="5"/>
        <v>10.031868000000001</v>
      </c>
      <c r="Q20" s="63">
        <f t="shared" si="5"/>
        <v>10.031868000000001</v>
      </c>
      <c r="R20" s="63">
        <f t="shared" si="5"/>
        <v>10.031868000000001</v>
      </c>
      <c r="S20" s="63">
        <f t="shared" si="5"/>
        <v>10.031868000000001</v>
      </c>
      <c r="T20" s="63">
        <f t="shared" si="5"/>
        <v>10.031868000000001</v>
      </c>
      <c r="U20" s="63">
        <f t="shared" si="5"/>
        <v>10.031868000000001</v>
      </c>
      <c r="V20" s="63">
        <f t="shared" si="5"/>
        <v>10.031868000000001</v>
      </c>
      <c r="W20" s="63">
        <f t="shared" si="5"/>
        <v>10.031868000000001</v>
      </c>
      <c r="X20" s="63">
        <f t="shared" si="5"/>
        <v>10.031868000000001</v>
      </c>
      <c r="Y20" s="63">
        <f t="shared" si="5"/>
        <v>10.031868000000001</v>
      </c>
      <c r="Z20" s="63">
        <f t="shared" si="5"/>
        <v>10.031868000000001</v>
      </c>
      <c r="AA20" s="63">
        <f t="shared" si="5"/>
        <v>10.031868000000001</v>
      </c>
      <c r="AB20" s="63">
        <f t="shared" si="5"/>
        <v>10.031868000000001</v>
      </c>
      <c r="AC20" s="63">
        <f t="shared" si="5"/>
        <v>10.031868000000001</v>
      </c>
      <c r="AD20" s="63">
        <f t="shared" si="5"/>
        <v>10.031868000000001</v>
      </c>
      <c r="AE20" s="63">
        <f t="shared" si="5"/>
        <v>10.031868000000001</v>
      </c>
      <c r="AF20" s="67">
        <f t="shared" si="5"/>
        <v>10.031868000000001</v>
      </c>
      <c r="AG20" s="415">
        <f>SUM(H20:AF20)</f>
        <v>250.79670000000004</v>
      </c>
    </row>
    <row r="21" spans="1:34" ht="15.75" thickBot="1" x14ac:dyDescent="0.3">
      <c r="A21" s="551"/>
      <c r="B21" s="5" t="s">
        <v>289</v>
      </c>
      <c r="C21" s="60">
        <f>C19*C9</f>
        <v>71.656199999999998</v>
      </c>
      <c r="F21" s="404" t="s">
        <v>230</v>
      </c>
      <c r="G21" s="454" t="s">
        <v>0</v>
      </c>
      <c r="H21" s="70">
        <f ca="1">IPMT($C$17,H15,12,-$C$18)+'S - Working Capital'!D17</f>
        <v>32.874816672899996</v>
      </c>
      <c r="I21" s="63">
        <f ca="1">IPMT($C$17,I15,12,-$C$18)+'S - Working Capital'!E17</f>
        <v>31.602330678672917</v>
      </c>
      <c r="J21" s="63">
        <f ca="1">IPMT($C$17,J15,12,-$C$18)+'S - Working Capital'!F17</f>
        <v>30.21498838854119</v>
      </c>
      <c r="K21" s="63">
        <f ca="1">IPMT($C$17,K15,12,-$C$18)+'S - Working Capital'!G17</f>
        <v>28.702436108052208</v>
      </c>
      <c r="L21" s="63">
        <f ca="1">IPMT($C$17,L15,12,-$C$18)+'S - Working Capital'!H17</f>
        <v>27.053387478861538</v>
      </c>
      <c r="M21" s="63">
        <f ca="1">IPMT($C$17,M15,12,-$C$18)+'S - Working Capital'!I17</f>
        <v>25.255539497413135</v>
      </c>
      <c r="N21" s="63">
        <f ca="1">IPMT($C$17,N15,12,-$C$18)+'S - Working Capital'!J17</f>
        <v>23.29548097322229</v>
      </c>
      <c r="O21" s="63">
        <f ca="1">IPMT($C$17,O15,12,-$C$18)+'S - Working Capital'!K17</f>
        <v>21.158592746221565</v>
      </c>
      <c r="P21" s="63">
        <f ca="1">IPMT($C$17,P15,12,-$C$18)+'S - Working Capital'!L17</f>
        <v>18.828938921376441</v>
      </c>
      <c r="Q21" s="63">
        <f ca="1">IPMT($C$17,Q15,12,-$C$18)+'S - Working Capital'!M17</f>
        <v>16.289148312010216</v>
      </c>
      <c r="R21" s="63">
        <f ca="1">IPMT($C$17,R15,12,-$C$18)+'S - Working Capital'!N17</f>
        <v>13.520285210501724</v>
      </c>
      <c r="S21" s="63">
        <f ca="1">IPMT($C$17,S15,12,-$C$18)+'S - Working Capital'!O17</f>
        <v>10.501708525693203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7">
        <v>0</v>
      </c>
      <c r="AG21" s="415">
        <f ca="1">SUM(H21:AF21)</f>
        <v>279.29765351346634</v>
      </c>
    </row>
    <row r="22" spans="1:34" ht="15.75" thickBot="1" x14ac:dyDescent="0.3">
      <c r="B22" s="413" t="s">
        <v>44</v>
      </c>
      <c r="C22" s="420">
        <f>'S - SPM Pre-GST'!C22</f>
        <v>0.34610000000000002</v>
      </c>
      <c r="D22" s="11"/>
      <c r="F22" s="402" t="s">
        <v>380</v>
      </c>
      <c r="G22" s="457" t="s">
        <v>98</v>
      </c>
      <c r="H22" s="456">
        <f t="shared" ref="H22:AF22" si="6">$C$3/H16</f>
        <v>1672015.7219810826</v>
      </c>
      <c r="I22" s="417">
        <f t="shared" si="6"/>
        <v>1555246.5656358877</v>
      </c>
      <c r="J22" s="417">
        <f t="shared" si="6"/>
        <v>1446632.2583715455</v>
      </c>
      <c r="K22" s="417">
        <f t="shared" si="6"/>
        <v>1345603.2870939053</v>
      </c>
      <c r="L22" s="417">
        <f t="shared" si="6"/>
        <v>1251629.9119972242</v>
      </c>
      <c r="M22" s="417">
        <f t="shared" si="6"/>
        <v>1164219.3889028844</v>
      </c>
      <c r="N22" s="417">
        <f t="shared" si="6"/>
        <v>1082913.3855826319</v>
      </c>
      <c r="O22" s="417">
        <f t="shared" si="6"/>
        <v>1007285.5785189652</v>
      </c>
      <c r="P22" s="417">
        <f t="shared" si="6"/>
        <v>936939.41750142432</v>
      </c>
      <c r="Q22" s="417">
        <f t="shared" si="6"/>
        <v>871506.04633756296</v>
      </c>
      <c r="R22" s="417">
        <f t="shared" si="6"/>
        <v>810642.36877596832</v>
      </c>
      <c r="S22" s="417">
        <f t="shared" si="6"/>
        <v>754029.24950010108</v>
      </c>
      <c r="T22" s="417">
        <f t="shared" si="6"/>
        <v>701369.8407599699</v>
      </c>
      <c r="U22" s="417">
        <f t="shared" si="6"/>
        <v>652388.02586742304</v>
      </c>
      <c r="V22" s="417">
        <f t="shared" si="6"/>
        <v>606826.97139361349</v>
      </c>
      <c r="W22" s="417">
        <f t="shared" si="6"/>
        <v>564447.7804771635</v>
      </c>
      <c r="X22" s="417">
        <f t="shared" si="6"/>
        <v>525028.24018172733</v>
      </c>
      <c r="Y22" s="417">
        <f t="shared" si="6"/>
        <v>488361.65633478644</v>
      </c>
      <c r="Z22" s="417">
        <f t="shared" si="6"/>
        <v>454255.76973822486</v>
      </c>
      <c r="AA22" s="417">
        <f t="shared" si="6"/>
        <v>422531.74806788913</v>
      </c>
      <c r="AB22" s="417">
        <f t="shared" si="6"/>
        <v>393023.24817622016</v>
      </c>
      <c r="AC22" s="417">
        <f t="shared" si="6"/>
        <v>365575.54388118547</v>
      </c>
      <c r="AD22" s="417">
        <f t="shared" si="6"/>
        <v>340044.71466813068</v>
      </c>
      <c r="AE22" s="417">
        <f t="shared" si="6"/>
        <v>316296.89105054288</v>
      </c>
      <c r="AF22" s="416">
        <f t="shared" si="6"/>
        <v>294207.55263282818</v>
      </c>
      <c r="AG22" s="415">
        <f>SUM(H22:AF22)</f>
        <v>20023021.163428891</v>
      </c>
    </row>
    <row r="23" spans="1:34" ht="15.75" thickBot="1" x14ac:dyDescent="0.3">
      <c r="B23" s="319" t="s">
        <v>84</v>
      </c>
      <c r="C23" s="414">
        <f>(C17*C16*(1-C22))+(C20*C19)</f>
        <v>7.5080800000000003E-2</v>
      </c>
      <c r="D23" s="11"/>
    </row>
    <row r="24" spans="1:34" ht="15.75" thickBot="1" x14ac:dyDescent="0.3">
      <c r="B24" s="319" t="s">
        <v>287</v>
      </c>
      <c r="C24" s="414">
        <v>5.8299999999999998E-2</v>
      </c>
      <c r="D24" s="11"/>
      <c r="E24" s="55"/>
      <c r="G24" s="32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4" t="s">
        <v>267</v>
      </c>
      <c r="AH24" s="384" t="s">
        <v>382</v>
      </c>
    </row>
    <row r="25" spans="1:34" ht="15.75" thickBot="1" x14ac:dyDescent="0.3">
      <c r="B25" s="319" t="s">
        <v>286</v>
      </c>
      <c r="C25" s="414">
        <v>1.54E-2</v>
      </c>
      <c r="D25" s="11"/>
      <c r="F25" s="410" t="s">
        <v>283</v>
      </c>
      <c r="G25" s="455" t="s">
        <v>0</v>
      </c>
      <c r="H25" s="408">
        <f t="shared" ref="H25:AF25" si="7">H18</f>
        <v>4.998894036615666</v>
      </c>
      <c r="I25" s="213">
        <f t="shared" si="7"/>
        <v>4.8822737216090637</v>
      </c>
      <c r="J25" s="213">
        <f t="shared" si="7"/>
        <v>4.7683740679672786</v>
      </c>
      <c r="K25" s="213">
        <f t="shared" si="7"/>
        <v>4.6571316047739328</v>
      </c>
      <c r="L25" s="213">
        <f t="shared" si="7"/>
        <v>4.5484843418398224</v>
      </c>
      <c r="M25" s="213">
        <f t="shared" si="7"/>
        <v>4.4423717351587095</v>
      </c>
      <c r="N25" s="213">
        <f t="shared" si="7"/>
        <v>4.3387346531689941</v>
      </c>
      <c r="O25" s="213">
        <f t="shared" si="7"/>
        <v>4.2375153438024791</v>
      </c>
      <c r="P25" s="213">
        <f t="shared" si="7"/>
        <v>4.1386574023018579</v>
      </c>
      <c r="Q25" s="213">
        <f t="shared" si="7"/>
        <v>4.042105739789001</v>
      </c>
      <c r="R25" s="213">
        <f t="shared" si="7"/>
        <v>3.9478065525665147</v>
      </c>
      <c r="S25" s="213">
        <f t="shared" si="7"/>
        <v>3.8557072921354756</v>
      </c>
      <c r="T25" s="213">
        <f t="shared" si="7"/>
        <v>3.7657566359126218</v>
      </c>
      <c r="U25" s="213">
        <f t="shared" si="7"/>
        <v>3.6779044586306928</v>
      </c>
      <c r="V25" s="213">
        <f t="shared" si="7"/>
        <v>3.5921018044059831</v>
      </c>
      <c r="W25" s="213">
        <f t="shared" si="7"/>
        <v>3.5083008594575231</v>
      </c>
      <c r="X25" s="213">
        <f t="shared" si="7"/>
        <v>3.426454925462719</v>
      </c>
      <c r="Y25" s="213">
        <f t="shared" si="7"/>
        <v>3.3465183935345642</v>
      </c>
      <c r="Z25" s="213">
        <f t="shared" si="7"/>
        <v>3.2684467188059667</v>
      </c>
      <c r="AA25" s="213">
        <f t="shared" si="7"/>
        <v>3.1921963956069757</v>
      </c>
      <c r="AB25" s="213">
        <f t="shared" si="7"/>
        <v>3.1177249332211363</v>
      </c>
      <c r="AC25" s="213">
        <f t="shared" si="7"/>
        <v>3.0449908322073949</v>
      </c>
      <c r="AD25" s="213">
        <f t="shared" si="7"/>
        <v>2.973953561274433</v>
      </c>
      <c r="AE25" s="213">
        <f t="shared" si="7"/>
        <v>2.9045735346944648</v>
      </c>
      <c r="AF25" s="192">
        <f t="shared" si="7"/>
        <v>2.8368120902439982</v>
      </c>
      <c r="AG25" s="400">
        <f>SUM(H25:AF25)</f>
        <v>95.51379163518726</v>
      </c>
      <c r="AH25" s="399">
        <f>AG25*100000/$AG$22</f>
        <v>0.47701988054449407</v>
      </c>
    </row>
    <row r="26" spans="1:34" ht="15.75" thickBot="1" x14ac:dyDescent="0.3">
      <c r="B26" s="413" t="s">
        <v>285</v>
      </c>
      <c r="C26" s="412">
        <v>0.4</v>
      </c>
      <c r="F26" s="404" t="s">
        <v>87</v>
      </c>
      <c r="G26" s="454" t="s">
        <v>0</v>
      </c>
      <c r="H26" s="70">
        <f t="shared" ref="H26:AF26" si="8">H19/H16</f>
        <v>21.57955225318878</v>
      </c>
      <c r="I26" s="63">
        <f t="shared" si="8"/>
        <v>20.159631400513252</v>
      </c>
      <c r="J26" s="63">
        <f t="shared" si="8"/>
        <v>18.853160272014584</v>
      </c>
      <c r="K26" s="63">
        <f t="shared" si="8"/>
        <v>17.63971004546557</v>
      </c>
      <c r="L26" s="63">
        <f t="shared" si="8"/>
        <v>16.512838964181295</v>
      </c>
      <c r="M26" s="63">
        <f t="shared" si="8"/>
        <v>15.466556101275936</v>
      </c>
      <c r="N26" s="63">
        <f t="shared" si="8"/>
        <v>14.495289904270679</v>
      </c>
      <c r="O26" s="63">
        <f t="shared" si="8"/>
        <v>13.593858936974812</v>
      </c>
      <c r="P26" s="63">
        <f t="shared" si="8"/>
        <v>12.757444665204</v>
      </c>
      <c r="Q26" s="63">
        <f t="shared" si="8"/>
        <v>11.981566143615684</v>
      </c>
      <c r="R26" s="63">
        <f t="shared" si="8"/>
        <v>11.262056470908952</v>
      </c>
      <c r="S26" s="63">
        <f t="shared" si="8"/>
        <v>10.595040889907612</v>
      </c>
      <c r="T26" s="63">
        <f t="shared" si="8"/>
        <v>3.9797417981571277</v>
      </c>
      <c r="U26" s="63">
        <f t="shared" si="8"/>
        <v>3.8259850950542797</v>
      </c>
      <c r="V26" s="63">
        <f t="shared" si="8"/>
        <v>3.685404637324476</v>
      </c>
      <c r="W26" s="63">
        <f t="shared" si="8"/>
        <v>3.5571470130437444</v>
      </c>
      <c r="X26" s="63">
        <f t="shared" si="8"/>
        <v>3.4404197187737959</v>
      </c>
      <c r="Y26" s="63">
        <f t="shared" si="8"/>
        <v>3.3344869417899785</v>
      </c>
      <c r="Z26" s="63">
        <f t="shared" si="8"/>
        <v>3.2386656375694374</v>
      </c>
      <c r="AA26" s="63">
        <f t="shared" si="8"/>
        <v>3.1523218819385646</v>
      </c>
      <c r="AB26" s="63">
        <f t="shared" si="8"/>
        <v>3.0748674787180024</v>
      </c>
      <c r="AC26" s="63">
        <f t="shared" si="8"/>
        <v>3.0057568050419468</v>
      </c>
      <c r="AD26" s="63">
        <f t="shared" si="8"/>
        <v>2.9444838777737492</v>
      </c>
      <c r="AE26" s="63">
        <f t="shared" si="8"/>
        <v>2.8905796255978515</v>
      </c>
      <c r="AF26" s="67">
        <f t="shared" si="8"/>
        <v>2.8436093524455472</v>
      </c>
      <c r="AG26" s="400">
        <f>SUM(H26:AF26)</f>
        <v>227.87017591074968</v>
      </c>
      <c r="AH26" s="399">
        <f>AG26*100000/$AG$22</f>
        <v>1.1380409282438551</v>
      </c>
    </row>
    <row r="27" spans="1:34" ht="15.75" thickBot="1" x14ac:dyDescent="0.3">
      <c r="B27" s="319" t="s">
        <v>284</v>
      </c>
      <c r="C27" s="411">
        <v>0.2</v>
      </c>
      <c r="F27" s="404" t="s">
        <v>229</v>
      </c>
      <c r="G27" s="454" t="s">
        <v>0</v>
      </c>
      <c r="H27" s="70">
        <f t="shared" ref="H27:AF27" si="9">H20/H16</f>
        <v>9.3312688683492446</v>
      </c>
      <c r="I27" s="63">
        <f t="shared" si="9"/>
        <v>8.6795977273050031</v>
      </c>
      <c r="J27" s="63">
        <f t="shared" si="9"/>
        <v>8.0734375753943368</v>
      </c>
      <c r="K27" s="63">
        <f t="shared" si="9"/>
        <v>7.509610045490847</v>
      </c>
      <c r="L27" s="63">
        <f t="shared" si="9"/>
        <v>6.9851587392229932</v>
      </c>
      <c r="M27" s="63">
        <f t="shared" si="9"/>
        <v>6.4973337252632479</v>
      </c>
      <c r="N27" s="63">
        <f t="shared" si="9"/>
        <v>6.0435771202157529</v>
      </c>
      <c r="O27" s="63">
        <f t="shared" si="9"/>
        <v>5.6215096764966441</v>
      </c>
      <c r="P27" s="63">
        <f t="shared" si="9"/>
        <v>5.2289183068813472</v>
      </c>
      <c r="Q27" s="63">
        <f t="shared" si="9"/>
        <v>4.8637444803045007</v>
      </c>
      <c r="R27" s="63">
        <f t="shared" si="9"/>
        <v>4.524073428066524</v>
      </c>
      <c r="S27" s="63">
        <f t="shared" si="9"/>
        <v>4.20812410385017</v>
      </c>
      <c r="T27" s="63">
        <f t="shared" si="9"/>
        <v>3.9142398449029785</v>
      </c>
      <c r="U27" s="63">
        <f t="shared" si="9"/>
        <v>3.6408796854180432</v>
      </c>
      <c r="V27" s="63">
        <f t="shared" si="9"/>
        <v>3.3866102765652992</v>
      </c>
      <c r="W27" s="63">
        <f t="shared" si="9"/>
        <v>3.1500983708064538</v>
      </c>
      <c r="X27" s="63">
        <f t="shared" si="9"/>
        <v>2.9301038310854906</v>
      </c>
      <c r="Y27" s="63">
        <f t="shared" si="9"/>
        <v>2.7254731282388169</v>
      </c>
      <c r="Z27" s="63">
        <f t="shared" si="9"/>
        <v>2.5351332925290988</v>
      </c>
      <c r="AA27" s="63">
        <f t="shared" si="9"/>
        <v>2.3580862875879638</v>
      </c>
      <c r="AB27" s="63">
        <f t="shared" si="9"/>
        <v>2.1934037772676849</v>
      </c>
      <c r="AC27" s="63">
        <f t="shared" si="9"/>
        <v>2.0402222579620846</v>
      </c>
      <c r="AD27" s="63">
        <f t="shared" si="9"/>
        <v>1.8977385308732937</v>
      </c>
      <c r="AE27" s="63">
        <f t="shared" si="9"/>
        <v>1.7652054904834062</v>
      </c>
      <c r="AF27" s="67">
        <f t="shared" si="9"/>
        <v>1.6419282071481578</v>
      </c>
      <c r="AG27" s="400">
        <f>SUM(H27:AF27)</f>
        <v>111.7454767777094</v>
      </c>
      <c r="AH27" s="399">
        <f>AG27*100000/$AG$22</f>
        <v>0.55808499559400793</v>
      </c>
    </row>
    <row r="28" spans="1:34" ht="15.75" thickBot="1" x14ac:dyDescent="0.3">
      <c r="F28" s="402" t="s">
        <v>230</v>
      </c>
      <c r="G28" s="453" t="s">
        <v>0</v>
      </c>
      <c r="H28" s="118">
        <f t="shared" ref="H28:AF28" ca="1" si="10">H21/H16</f>
        <v>30.57892641455414</v>
      </c>
      <c r="I28" s="119">
        <f t="shared" ca="1" si="10"/>
        <v>27.342416939312859</v>
      </c>
      <c r="J28" s="119">
        <f t="shared" ca="1" si="10"/>
        <v>24.316390785460094</v>
      </c>
      <c r="K28" s="119">
        <f t="shared" ca="1" si="10"/>
        <v>21.485938862741023</v>
      </c>
      <c r="L28" s="119">
        <f t="shared" ca="1" si="10"/>
        <v>18.837190239500316</v>
      </c>
      <c r="M28" s="119">
        <f t="shared" ca="1" si="10"/>
        <v>16.357239601464091</v>
      </c>
      <c r="N28" s="119">
        <f t="shared" ca="1" si="10"/>
        <v>14.034079775988642</v>
      </c>
      <c r="O28" s="119">
        <f t="shared" ca="1" si="10"/>
        <v>11.856538968010366</v>
      </c>
      <c r="P28" s="119">
        <f t="shared" ca="1" si="10"/>
        <v>9.814222378637357</v>
      </c>
      <c r="Q28" s="119">
        <f t="shared" ca="1" si="10"/>
        <v>7.8974579003034187</v>
      </c>
      <c r="R28" s="119">
        <f t="shared" ca="1" si="10"/>
        <v>6.0972456037810359</v>
      </c>
      <c r="S28" s="119">
        <f t="shared" ca="1" si="10"/>
        <v>4.4052107522326249</v>
      </c>
      <c r="T28" s="119">
        <f t="shared" si="10"/>
        <v>0</v>
      </c>
      <c r="U28" s="119">
        <f t="shared" si="10"/>
        <v>0</v>
      </c>
      <c r="V28" s="119">
        <f t="shared" si="10"/>
        <v>0</v>
      </c>
      <c r="W28" s="119">
        <f t="shared" si="10"/>
        <v>0</v>
      </c>
      <c r="X28" s="119">
        <f t="shared" si="10"/>
        <v>0</v>
      </c>
      <c r="Y28" s="119">
        <f t="shared" si="10"/>
        <v>0</v>
      </c>
      <c r="Z28" s="119">
        <f t="shared" si="10"/>
        <v>0</v>
      </c>
      <c r="AA28" s="119">
        <f t="shared" si="10"/>
        <v>0</v>
      </c>
      <c r="AB28" s="119">
        <f t="shared" si="10"/>
        <v>0</v>
      </c>
      <c r="AC28" s="119">
        <f t="shared" si="10"/>
        <v>0</v>
      </c>
      <c r="AD28" s="119">
        <f t="shared" si="10"/>
        <v>0</v>
      </c>
      <c r="AE28" s="119">
        <f t="shared" si="10"/>
        <v>0</v>
      </c>
      <c r="AF28" s="120">
        <f t="shared" si="10"/>
        <v>0</v>
      </c>
      <c r="AG28" s="400">
        <f ca="1">SUM(H28:AF28)</f>
        <v>193.02285822198596</v>
      </c>
      <c r="AH28" s="399">
        <f ca="1">AG28*100000/$AG$22</f>
        <v>0.96400466566220866</v>
      </c>
    </row>
    <row r="29" spans="1:34" ht="15.75" thickBot="1" x14ac:dyDescent="0.3">
      <c r="B29" s="552" t="s">
        <v>262</v>
      </c>
      <c r="C29" s="553"/>
      <c r="D29" s="554"/>
      <c r="G29" s="32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452"/>
      <c r="AG29" s="452"/>
    </row>
    <row r="30" spans="1:34" x14ac:dyDescent="0.25">
      <c r="B30" s="396" t="s">
        <v>278</v>
      </c>
      <c r="C30" s="12" t="s">
        <v>273</v>
      </c>
      <c r="D30" s="398">
        <f>'S - SPM Pre-GST'!D30</f>
        <v>1.0071399999999999</v>
      </c>
      <c r="F30" s="2" t="s">
        <v>276</v>
      </c>
      <c r="G30" s="55"/>
    </row>
    <row r="31" spans="1:34" x14ac:dyDescent="0.25">
      <c r="B31" s="407" t="s">
        <v>275</v>
      </c>
      <c r="C31" s="406" t="s">
        <v>25</v>
      </c>
      <c r="D31" s="405">
        <f>'S - SPM Pre-GST'!D31</f>
        <v>0.1</v>
      </c>
    </row>
    <row r="32" spans="1:34" x14ac:dyDescent="0.25">
      <c r="B32" s="555" t="s">
        <v>279</v>
      </c>
      <c r="C32" s="556"/>
      <c r="D32" s="557"/>
      <c r="F32" t="s">
        <v>272</v>
      </c>
      <c r="G32" s="391">
        <f>C9</f>
        <v>358.28100000000001</v>
      </c>
    </row>
    <row r="33" spans="2:16384" ht="15.75" thickBot="1" x14ac:dyDescent="0.3">
      <c r="B33" s="396" t="s">
        <v>278</v>
      </c>
      <c r="C33" s="12" t="s">
        <v>273</v>
      </c>
      <c r="D33" s="398">
        <f>'S - SPM Pre-GST'!D33</f>
        <v>0.30484</v>
      </c>
      <c r="H33" s="106">
        <f>SUM(C26:C27)</f>
        <v>0.60000000000000009</v>
      </c>
      <c r="I33" s="237">
        <f>(1-H33)*C26</f>
        <v>0.15999999999999998</v>
      </c>
      <c r="J33" s="237">
        <f>(1-SUM(H33:I33))*C26</f>
        <v>9.6000000000000002E-2</v>
      </c>
      <c r="K33" s="237">
        <f>(1-SUM(H33:J33))*C26</f>
        <v>5.7600000000000012E-2</v>
      </c>
      <c r="L33" s="237">
        <f>(1-SUM(H33:K33))*C26</f>
        <v>3.4560000000000014E-2</v>
      </c>
      <c r="M33" s="237">
        <f>(1-SUM(H33:L33))*C26</f>
        <v>2.0736000000000001E-2</v>
      </c>
      <c r="N33" s="237">
        <f>(1-SUM(H33:M33))*C26</f>
        <v>1.2441600000000009E-2</v>
      </c>
      <c r="O33" s="237">
        <f>(1-SUM(H33:N33))*C26</f>
        <v>7.4649599999999875E-3</v>
      </c>
      <c r="P33" s="237">
        <f>(1-SUM(H33:O33))*C26</f>
        <v>4.4789760000000017E-3</v>
      </c>
      <c r="Q33" s="106">
        <f>(1-SUM(H33:P33))</f>
        <v>6.7184639999999796E-3</v>
      </c>
    </row>
    <row r="34" spans="2:16384" ht="15.75" thickBot="1" x14ac:dyDescent="0.3">
      <c r="B34" s="396" t="s">
        <v>277</v>
      </c>
      <c r="C34" s="12" t="s">
        <v>28</v>
      </c>
      <c r="D34" s="397">
        <f>'S - SPM Pre-GST'!D34</f>
        <v>2</v>
      </c>
      <c r="F34" s="390"/>
      <c r="G34" s="389" t="s">
        <v>1</v>
      </c>
      <c r="H34" s="389">
        <v>1</v>
      </c>
      <c r="I34" s="373">
        <v>2</v>
      </c>
      <c r="J34" s="373">
        <v>3</v>
      </c>
      <c r="K34" s="373">
        <v>4</v>
      </c>
      <c r="L34" s="373">
        <v>5</v>
      </c>
      <c r="M34" s="373">
        <v>6</v>
      </c>
      <c r="N34" s="373">
        <v>7</v>
      </c>
      <c r="O34" s="373">
        <v>8</v>
      </c>
      <c r="P34" s="373">
        <v>9</v>
      </c>
      <c r="Q34" s="373">
        <v>10</v>
      </c>
      <c r="R34" s="373">
        <v>11</v>
      </c>
      <c r="S34" s="373">
        <v>12</v>
      </c>
      <c r="T34" s="373">
        <v>13</v>
      </c>
      <c r="U34" s="373">
        <v>14</v>
      </c>
      <c r="V34" s="373">
        <v>15</v>
      </c>
      <c r="W34" s="373">
        <v>16</v>
      </c>
      <c r="X34" s="373">
        <v>17</v>
      </c>
      <c r="Y34" s="373">
        <v>18</v>
      </c>
      <c r="Z34" s="373">
        <v>19</v>
      </c>
      <c r="AA34" s="373">
        <v>20</v>
      </c>
      <c r="AB34" s="373">
        <v>21</v>
      </c>
      <c r="AC34" s="373">
        <v>22</v>
      </c>
      <c r="AD34" s="373">
        <v>23</v>
      </c>
      <c r="AE34" s="373">
        <v>24</v>
      </c>
      <c r="AF34" s="372">
        <v>25</v>
      </c>
      <c r="AG34" s="2"/>
      <c r="AH34" s="2"/>
    </row>
    <row r="35" spans="2:16384" x14ac:dyDescent="0.25">
      <c r="B35" s="396" t="s">
        <v>275</v>
      </c>
      <c r="C35" s="12" t="s">
        <v>25</v>
      </c>
      <c r="D35" s="395">
        <f>'S - SPM Pre-GST'!D35</f>
        <v>0.05</v>
      </c>
      <c r="F35" s="388" t="s">
        <v>271</v>
      </c>
      <c r="G35" s="387" t="s">
        <v>0</v>
      </c>
      <c r="H35" s="386">
        <f t="shared" ref="H35:X35" si="11">0.0528*$G$32</f>
        <v>18.917236800000001</v>
      </c>
      <c r="I35" s="77">
        <f t="shared" si="11"/>
        <v>18.917236800000001</v>
      </c>
      <c r="J35" s="77">
        <f t="shared" si="11"/>
        <v>18.917236800000001</v>
      </c>
      <c r="K35" s="77">
        <f t="shared" si="11"/>
        <v>18.917236800000001</v>
      </c>
      <c r="L35" s="77">
        <f t="shared" si="11"/>
        <v>18.917236800000001</v>
      </c>
      <c r="M35" s="77">
        <f t="shared" si="11"/>
        <v>18.917236800000001</v>
      </c>
      <c r="N35" s="77">
        <f t="shared" si="11"/>
        <v>18.917236800000001</v>
      </c>
      <c r="O35" s="77">
        <f t="shared" si="11"/>
        <v>18.917236800000001</v>
      </c>
      <c r="P35" s="77">
        <f t="shared" si="11"/>
        <v>18.917236800000001</v>
      </c>
      <c r="Q35" s="77">
        <f t="shared" si="11"/>
        <v>18.917236800000001</v>
      </c>
      <c r="R35" s="77">
        <f t="shared" si="11"/>
        <v>18.917236800000001</v>
      </c>
      <c r="S35" s="77">
        <f t="shared" si="11"/>
        <v>18.917236800000001</v>
      </c>
      <c r="T35" s="77">
        <f t="shared" si="11"/>
        <v>18.917236800000001</v>
      </c>
      <c r="U35" s="77">
        <f t="shared" si="11"/>
        <v>18.917236800000001</v>
      </c>
      <c r="V35" s="77">
        <f t="shared" si="11"/>
        <v>18.917236800000001</v>
      </c>
      <c r="W35" s="77">
        <f t="shared" si="11"/>
        <v>18.917236800000001</v>
      </c>
      <c r="X35" s="77">
        <f t="shared" si="11"/>
        <v>18.917236800000001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8">
        <v>0</v>
      </c>
      <c r="AI35" s="2"/>
      <c r="AJ35" s="2"/>
    </row>
    <row r="36" spans="2:16384" ht="15.75" thickBot="1" x14ac:dyDescent="0.3">
      <c r="B36" s="394" t="s">
        <v>274</v>
      </c>
      <c r="C36" s="393" t="s">
        <v>273</v>
      </c>
      <c r="D36" s="392">
        <f>'S - SPM Pre-GST'!D36</f>
        <v>1</v>
      </c>
      <c r="F36" s="383" t="s">
        <v>285</v>
      </c>
      <c r="G36" s="382" t="s">
        <v>0</v>
      </c>
      <c r="H36" s="381">
        <f t="shared" ref="H36:Q36" si="12">$G$32*H33</f>
        <v>214.96860000000004</v>
      </c>
      <c r="I36" s="63">
        <f t="shared" si="12"/>
        <v>57.32495999999999</v>
      </c>
      <c r="J36" s="63">
        <f t="shared" si="12"/>
        <v>34.394976</v>
      </c>
      <c r="K36" s="63">
        <f t="shared" si="12"/>
        <v>20.636985600000006</v>
      </c>
      <c r="L36" s="63">
        <f t="shared" si="12"/>
        <v>12.382191360000006</v>
      </c>
      <c r="M36" s="63">
        <f t="shared" si="12"/>
        <v>7.4293148160000007</v>
      </c>
      <c r="N36" s="63">
        <f t="shared" si="12"/>
        <v>4.4575888896000038</v>
      </c>
      <c r="O36" s="63">
        <f t="shared" si="12"/>
        <v>2.6745533337599956</v>
      </c>
      <c r="P36" s="63">
        <f t="shared" si="12"/>
        <v>1.6047320002560006</v>
      </c>
      <c r="Q36" s="63">
        <f t="shared" si="12"/>
        <v>2.4070980003839928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7">
        <v>0</v>
      </c>
    </row>
    <row r="37" spans="2:16384" x14ac:dyDescent="0.25">
      <c r="F37" s="383" t="s">
        <v>269</v>
      </c>
      <c r="G37" s="382" t="s">
        <v>0</v>
      </c>
      <c r="H37" s="381">
        <f t="shared" ref="H37:AF37" si="13">H36-H35</f>
        <v>196.05136320000003</v>
      </c>
      <c r="I37" s="63">
        <f t="shared" si="13"/>
        <v>38.407723199999992</v>
      </c>
      <c r="J37" s="63">
        <f t="shared" si="13"/>
        <v>15.477739199999998</v>
      </c>
      <c r="K37" s="63">
        <f t="shared" si="13"/>
        <v>1.719748800000005</v>
      </c>
      <c r="L37" s="63">
        <f t="shared" si="13"/>
        <v>-6.5350454399999958</v>
      </c>
      <c r="M37" s="63">
        <f t="shared" si="13"/>
        <v>-11.487921984</v>
      </c>
      <c r="N37" s="63">
        <f t="shared" si="13"/>
        <v>-14.459647910399998</v>
      </c>
      <c r="O37" s="63">
        <f t="shared" si="13"/>
        <v>-16.242683466240006</v>
      </c>
      <c r="P37" s="63">
        <f t="shared" si="13"/>
        <v>-17.312504799744001</v>
      </c>
      <c r="Q37" s="63">
        <f t="shared" si="13"/>
        <v>-16.510138799616008</v>
      </c>
      <c r="R37" s="63">
        <f t="shared" si="13"/>
        <v>-18.917236800000001</v>
      </c>
      <c r="S37" s="63">
        <f t="shared" si="13"/>
        <v>-18.917236800000001</v>
      </c>
      <c r="T37" s="63">
        <f t="shared" si="13"/>
        <v>-18.917236800000001</v>
      </c>
      <c r="U37" s="63">
        <f t="shared" si="13"/>
        <v>-18.917236800000001</v>
      </c>
      <c r="V37" s="63">
        <f t="shared" si="13"/>
        <v>-18.917236800000001</v>
      </c>
      <c r="W37" s="63">
        <f t="shared" si="13"/>
        <v>-18.917236800000001</v>
      </c>
      <c r="X37" s="63">
        <f t="shared" si="13"/>
        <v>-18.917236800000001</v>
      </c>
      <c r="Y37" s="63">
        <f t="shared" si="13"/>
        <v>0</v>
      </c>
      <c r="Z37" s="63">
        <f t="shared" si="13"/>
        <v>0</v>
      </c>
      <c r="AA37" s="63">
        <f t="shared" si="13"/>
        <v>0</v>
      </c>
      <c r="AB37" s="63">
        <f t="shared" si="13"/>
        <v>0</v>
      </c>
      <c r="AC37" s="63">
        <f t="shared" si="13"/>
        <v>0</v>
      </c>
      <c r="AD37" s="63">
        <f t="shared" si="13"/>
        <v>0</v>
      </c>
      <c r="AE37" s="63">
        <f t="shared" si="13"/>
        <v>0</v>
      </c>
      <c r="AF37" s="67">
        <f t="shared" si="13"/>
        <v>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spans="2:16384" x14ac:dyDescent="0.25">
      <c r="F38" s="383" t="s">
        <v>268</v>
      </c>
      <c r="G38" s="382" t="s">
        <v>0</v>
      </c>
      <c r="H38" s="381">
        <f t="shared" ref="H38:AF38" si="14">$C$22*H37</f>
        <v>67.853376803520007</v>
      </c>
      <c r="I38" s="63">
        <f t="shared" si="14"/>
        <v>13.292912999519999</v>
      </c>
      <c r="J38" s="63">
        <f t="shared" si="14"/>
        <v>5.3568455371199999</v>
      </c>
      <c r="K38" s="63">
        <f t="shared" si="14"/>
        <v>0.5952050596800017</v>
      </c>
      <c r="L38" s="63">
        <f t="shared" si="14"/>
        <v>-2.2617792267839985</v>
      </c>
      <c r="M38" s="63">
        <f t="shared" si="14"/>
        <v>-3.9759697986624003</v>
      </c>
      <c r="N38" s="63">
        <f t="shared" si="14"/>
        <v>-5.0044841417894395</v>
      </c>
      <c r="O38" s="63">
        <f t="shared" si="14"/>
        <v>-5.6215927476656669</v>
      </c>
      <c r="P38" s="63">
        <f t="shared" si="14"/>
        <v>-5.9918579111913992</v>
      </c>
      <c r="Q38" s="63">
        <f t="shared" si="14"/>
        <v>-5.7141590385471011</v>
      </c>
      <c r="R38" s="63">
        <f t="shared" si="14"/>
        <v>-6.5472556564800009</v>
      </c>
      <c r="S38" s="63">
        <f t="shared" si="14"/>
        <v>-6.5472556564800009</v>
      </c>
      <c r="T38" s="63">
        <f t="shared" si="14"/>
        <v>-6.5472556564800009</v>
      </c>
      <c r="U38" s="63">
        <f t="shared" si="14"/>
        <v>-6.5472556564800009</v>
      </c>
      <c r="V38" s="63">
        <f t="shared" si="14"/>
        <v>-6.5472556564800009</v>
      </c>
      <c r="W38" s="63">
        <f t="shared" si="14"/>
        <v>-6.5472556564800009</v>
      </c>
      <c r="X38" s="63">
        <f t="shared" si="14"/>
        <v>-6.5472556564800009</v>
      </c>
      <c r="Y38" s="63">
        <f t="shared" si="14"/>
        <v>0</v>
      </c>
      <c r="Z38" s="63">
        <f t="shared" si="14"/>
        <v>0</v>
      </c>
      <c r="AA38" s="63">
        <f t="shared" si="14"/>
        <v>0</v>
      </c>
      <c r="AB38" s="63">
        <f t="shared" si="14"/>
        <v>0</v>
      </c>
      <c r="AC38" s="63">
        <f t="shared" si="14"/>
        <v>0</v>
      </c>
      <c r="AD38" s="63">
        <f t="shared" si="14"/>
        <v>0</v>
      </c>
      <c r="AE38" s="63">
        <f t="shared" si="14"/>
        <v>0</v>
      </c>
      <c r="AF38" s="67">
        <f t="shared" si="14"/>
        <v>0</v>
      </c>
      <c r="AG38" s="385" t="s">
        <v>267</v>
      </c>
      <c r="AH38" s="384" t="s">
        <v>382</v>
      </c>
    </row>
    <row r="39" spans="2:16384" x14ac:dyDescent="0.25">
      <c r="F39" s="383" t="s">
        <v>266</v>
      </c>
      <c r="G39" s="382" t="s">
        <v>0</v>
      </c>
      <c r="H39" s="381">
        <f t="shared" ref="H39:AF39" si="15">H38/H16</f>
        <v>63.114676407131448</v>
      </c>
      <c r="I39" s="63">
        <f t="shared" si="15"/>
        <v>11.501062161094714</v>
      </c>
      <c r="J39" s="63">
        <f t="shared" si="15"/>
        <v>4.3110772634735683</v>
      </c>
      <c r="K39" s="63">
        <f t="shared" si="15"/>
        <v>0.44555589201332385</v>
      </c>
      <c r="L39" s="63">
        <f t="shared" si="15"/>
        <v>-1.5748698978259352</v>
      </c>
      <c r="M39" s="63">
        <f t="shared" si="15"/>
        <v>-2.5751138933922713</v>
      </c>
      <c r="N39" s="63">
        <f t="shared" si="15"/>
        <v>-3.0148907319953993</v>
      </c>
      <c r="O39" s="63">
        <f t="shared" si="15"/>
        <v>-3.1501449209983523</v>
      </c>
      <c r="P39" s="63">
        <f t="shared" si="15"/>
        <v>-3.1231407275355432</v>
      </c>
      <c r="Q39" s="63">
        <f t="shared" si="15"/>
        <v>-2.7703922622701507</v>
      </c>
      <c r="R39" s="63">
        <f t="shared" si="15"/>
        <v>-2.9526171339414966</v>
      </c>
      <c r="S39" s="63">
        <f t="shared" si="15"/>
        <v>-2.7464141615602253</v>
      </c>
      <c r="T39" s="63">
        <f t="shared" si="15"/>
        <v>-2.554611859462308</v>
      </c>
      <c r="U39" s="63">
        <f t="shared" si="15"/>
        <v>-2.3762045229180053</v>
      </c>
      <c r="V39" s="63">
        <f t="shared" si="15"/>
        <v>-2.2102566829563002</v>
      </c>
      <c r="W39" s="63">
        <f t="shared" si="15"/>
        <v>-2.0558982012852427</v>
      </c>
      <c r="X39" s="63">
        <f t="shared" si="15"/>
        <v>-1.912319707770098</v>
      </c>
      <c r="Y39" s="63">
        <f t="shared" si="15"/>
        <v>0</v>
      </c>
      <c r="Z39" s="63">
        <f t="shared" si="15"/>
        <v>0</v>
      </c>
      <c r="AA39" s="63">
        <f t="shared" si="15"/>
        <v>0</v>
      </c>
      <c r="AB39" s="63">
        <f t="shared" si="15"/>
        <v>0</v>
      </c>
      <c r="AC39" s="63">
        <f t="shared" si="15"/>
        <v>0</v>
      </c>
      <c r="AD39" s="63">
        <f t="shared" si="15"/>
        <v>0</v>
      </c>
      <c r="AE39" s="63">
        <f t="shared" si="15"/>
        <v>0</v>
      </c>
      <c r="AF39" s="67">
        <f t="shared" si="15"/>
        <v>0</v>
      </c>
      <c r="AG39" s="380">
        <f>SUM(H39:AF39)</f>
        <v>46.355497019801732</v>
      </c>
      <c r="AH39" s="379">
        <f>(AG39*100000)/AG22</f>
        <v>0.23151100246783876</v>
      </c>
    </row>
    <row r="40" spans="2:16384" ht="15.75" thickBot="1" x14ac:dyDescent="0.3">
      <c r="F40" s="378" t="s">
        <v>379</v>
      </c>
      <c r="G40" s="377" t="s">
        <v>0</v>
      </c>
      <c r="H40" s="376">
        <f t="shared" ref="H40:AF40" si="16">(H39*100000)/1000000</f>
        <v>6.3114676407131451</v>
      </c>
      <c r="I40" s="119">
        <f t="shared" si="16"/>
        <v>1.1501062161094715</v>
      </c>
      <c r="J40" s="119">
        <f t="shared" si="16"/>
        <v>0.43110772634735683</v>
      </c>
      <c r="K40" s="119">
        <f t="shared" si="16"/>
        <v>4.4555589201332381E-2</v>
      </c>
      <c r="L40" s="119">
        <f t="shared" si="16"/>
        <v>-0.15748698978259354</v>
      </c>
      <c r="M40" s="119">
        <f t="shared" si="16"/>
        <v>-0.25751138933922713</v>
      </c>
      <c r="N40" s="119">
        <f t="shared" si="16"/>
        <v>-0.30148907319953994</v>
      </c>
      <c r="O40" s="119">
        <f t="shared" si="16"/>
        <v>-0.31501449209983523</v>
      </c>
      <c r="P40" s="119">
        <f t="shared" si="16"/>
        <v>-0.31231407275355433</v>
      </c>
      <c r="Q40" s="119">
        <f t="shared" si="16"/>
        <v>-0.2770392262270151</v>
      </c>
      <c r="R40" s="119">
        <f t="shared" si="16"/>
        <v>-0.29526171339414969</v>
      </c>
      <c r="S40" s="119">
        <f t="shared" si="16"/>
        <v>-0.2746414161560225</v>
      </c>
      <c r="T40" s="119">
        <f t="shared" si="16"/>
        <v>-0.2554611859462308</v>
      </c>
      <c r="U40" s="119">
        <f t="shared" si="16"/>
        <v>-0.23762045229180054</v>
      </c>
      <c r="V40" s="119">
        <f t="shared" si="16"/>
        <v>-0.22102566829563003</v>
      </c>
      <c r="W40" s="119">
        <f t="shared" si="16"/>
        <v>-0.20558982012852428</v>
      </c>
      <c r="X40" s="119">
        <f t="shared" si="16"/>
        <v>-0.19123197077700979</v>
      </c>
      <c r="Y40" s="119">
        <f t="shared" si="16"/>
        <v>0</v>
      </c>
      <c r="Z40" s="119">
        <f t="shared" si="16"/>
        <v>0</v>
      </c>
      <c r="AA40" s="119">
        <f t="shared" si="16"/>
        <v>0</v>
      </c>
      <c r="AB40" s="119">
        <f t="shared" si="16"/>
        <v>0</v>
      </c>
      <c r="AC40" s="119">
        <f t="shared" si="16"/>
        <v>0</v>
      </c>
      <c r="AD40" s="119">
        <f t="shared" si="16"/>
        <v>0</v>
      </c>
      <c r="AE40" s="119">
        <f t="shared" si="16"/>
        <v>0</v>
      </c>
      <c r="AF40" s="120">
        <f t="shared" si="16"/>
        <v>0</v>
      </c>
    </row>
    <row r="41" spans="2:16384" x14ac:dyDescent="0.25">
      <c r="F41" s="2"/>
      <c r="G41" s="5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16384" x14ac:dyDescent="0.25">
      <c r="F42" s="2" t="s">
        <v>265</v>
      </c>
    </row>
    <row r="43" spans="2:16384" ht="15.75" thickBot="1" x14ac:dyDescent="0.3">
      <c r="F43" s="2"/>
      <c r="AI43" s="2"/>
      <c r="AJ43" s="2"/>
    </row>
    <row r="44" spans="2:16384" ht="15.75" thickBot="1" x14ac:dyDescent="0.3">
      <c r="F44" s="375"/>
      <c r="G44" s="130" t="s">
        <v>1</v>
      </c>
      <c r="H44" s="374">
        <v>1</v>
      </c>
      <c r="I44" s="373">
        <v>2</v>
      </c>
      <c r="J44" s="373">
        <v>3</v>
      </c>
      <c r="K44" s="373">
        <v>4</v>
      </c>
      <c r="L44" s="373">
        <v>5</v>
      </c>
      <c r="M44" s="373">
        <v>6</v>
      </c>
      <c r="N44" s="373">
        <v>7</v>
      </c>
      <c r="O44" s="373">
        <v>8</v>
      </c>
      <c r="P44" s="373">
        <v>9</v>
      </c>
      <c r="Q44" s="373">
        <v>10</v>
      </c>
      <c r="R44" s="373">
        <v>11</v>
      </c>
      <c r="S44" s="373">
        <v>12</v>
      </c>
      <c r="T44" s="373">
        <v>13</v>
      </c>
      <c r="U44" s="373">
        <v>14</v>
      </c>
      <c r="V44" s="373">
        <v>15</v>
      </c>
      <c r="W44" s="373">
        <v>16</v>
      </c>
      <c r="X44" s="373">
        <v>17</v>
      </c>
      <c r="Y44" s="373">
        <v>18</v>
      </c>
      <c r="Z44" s="373">
        <v>19</v>
      </c>
      <c r="AA44" s="373">
        <v>20</v>
      </c>
      <c r="AB44" s="373">
        <v>21</v>
      </c>
      <c r="AC44" s="373">
        <v>22</v>
      </c>
      <c r="AD44" s="373">
        <v>23</v>
      </c>
      <c r="AE44" s="373">
        <v>24</v>
      </c>
      <c r="AF44" s="372">
        <v>25</v>
      </c>
    </row>
    <row r="45" spans="2:16384" s="2" customFormat="1" x14ac:dyDescent="0.25">
      <c r="F45" s="371" t="s">
        <v>264</v>
      </c>
      <c r="G45" s="370" t="s">
        <v>0</v>
      </c>
      <c r="H45" s="76">
        <f>$D$33</f>
        <v>0.30484</v>
      </c>
      <c r="I45" s="77">
        <f>$D$33</f>
        <v>0.30484</v>
      </c>
      <c r="J45" s="77">
        <f t="shared" ref="J45:AF45" si="17">I45*(1+$D$35)</f>
        <v>0.32008200000000003</v>
      </c>
      <c r="K45" s="77">
        <f t="shared" si="17"/>
        <v>0.33608610000000005</v>
      </c>
      <c r="L45" s="77">
        <f t="shared" si="17"/>
        <v>0.35289040500000007</v>
      </c>
      <c r="M45" s="77">
        <f t="shared" si="17"/>
        <v>0.37053492525000009</v>
      </c>
      <c r="N45" s="77">
        <f t="shared" si="17"/>
        <v>0.3890616715125001</v>
      </c>
      <c r="O45" s="77">
        <f t="shared" si="17"/>
        <v>0.40851475508812513</v>
      </c>
      <c r="P45" s="77">
        <f t="shared" si="17"/>
        <v>0.42894049284253138</v>
      </c>
      <c r="Q45" s="77">
        <f t="shared" si="17"/>
        <v>0.450387517484658</v>
      </c>
      <c r="R45" s="77">
        <f t="shared" si="17"/>
        <v>0.47290689335889091</v>
      </c>
      <c r="S45" s="77">
        <f t="shared" si="17"/>
        <v>0.49655223802683546</v>
      </c>
      <c r="T45" s="77">
        <f t="shared" si="17"/>
        <v>0.52137984992817721</v>
      </c>
      <c r="U45" s="77">
        <f t="shared" si="17"/>
        <v>0.54744884242458614</v>
      </c>
      <c r="V45" s="77">
        <f t="shared" si="17"/>
        <v>0.57482128454581549</v>
      </c>
      <c r="W45" s="77">
        <f t="shared" si="17"/>
        <v>0.60356234877310633</v>
      </c>
      <c r="X45" s="77">
        <f t="shared" si="17"/>
        <v>0.63374046621176172</v>
      </c>
      <c r="Y45" s="77">
        <f t="shared" si="17"/>
        <v>0.66542748952234987</v>
      </c>
      <c r="Z45" s="77">
        <f t="shared" si="17"/>
        <v>0.69869886399846737</v>
      </c>
      <c r="AA45" s="77">
        <f t="shared" si="17"/>
        <v>0.73363380719839077</v>
      </c>
      <c r="AB45" s="77">
        <f t="shared" si="17"/>
        <v>0.7703154975583103</v>
      </c>
      <c r="AC45" s="77">
        <f t="shared" si="17"/>
        <v>0.80883127243622588</v>
      </c>
      <c r="AD45" s="77">
        <f t="shared" si="17"/>
        <v>0.84927283605803716</v>
      </c>
      <c r="AE45" s="77">
        <f t="shared" si="17"/>
        <v>0.89173647786093901</v>
      </c>
      <c r="AF45" s="78">
        <f t="shared" si="17"/>
        <v>0.93632330175398604</v>
      </c>
      <c r="AG45"/>
      <c r="AH45"/>
      <c r="AI45"/>
      <c r="AJ45"/>
    </row>
    <row r="46" spans="2:16384" x14ac:dyDescent="0.25">
      <c r="F46" s="369" t="s">
        <v>263</v>
      </c>
      <c r="G46" s="368" t="s">
        <v>0</v>
      </c>
      <c r="H46" s="70">
        <f t="shared" ref="H46:AF46" si="18">$D$36</f>
        <v>1</v>
      </c>
      <c r="I46" s="63">
        <f t="shared" si="18"/>
        <v>1</v>
      </c>
      <c r="J46" s="63">
        <f t="shared" si="18"/>
        <v>1</v>
      </c>
      <c r="K46" s="63">
        <f t="shared" si="18"/>
        <v>1</v>
      </c>
      <c r="L46" s="63">
        <f t="shared" si="18"/>
        <v>1</v>
      </c>
      <c r="M46" s="63">
        <f t="shared" si="18"/>
        <v>1</v>
      </c>
      <c r="N46" s="63">
        <f t="shared" si="18"/>
        <v>1</v>
      </c>
      <c r="O46" s="63">
        <f t="shared" si="18"/>
        <v>1</v>
      </c>
      <c r="P46" s="63">
        <f t="shared" si="18"/>
        <v>1</v>
      </c>
      <c r="Q46" s="63">
        <f t="shared" si="18"/>
        <v>1</v>
      </c>
      <c r="R46" s="63">
        <f t="shared" si="18"/>
        <v>1</v>
      </c>
      <c r="S46" s="63">
        <f t="shared" si="18"/>
        <v>1</v>
      </c>
      <c r="T46" s="63">
        <f t="shared" si="18"/>
        <v>1</v>
      </c>
      <c r="U46" s="63">
        <f t="shared" si="18"/>
        <v>1</v>
      </c>
      <c r="V46" s="63">
        <f t="shared" si="18"/>
        <v>1</v>
      </c>
      <c r="W46" s="63">
        <f t="shared" si="18"/>
        <v>1</v>
      </c>
      <c r="X46" s="63">
        <f t="shared" si="18"/>
        <v>1</v>
      </c>
      <c r="Y46" s="63">
        <f t="shared" si="18"/>
        <v>1</v>
      </c>
      <c r="Z46" s="63">
        <f t="shared" si="18"/>
        <v>1</v>
      </c>
      <c r="AA46" s="63">
        <f t="shared" si="18"/>
        <v>1</v>
      </c>
      <c r="AB46" s="63">
        <f t="shared" si="18"/>
        <v>1</v>
      </c>
      <c r="AC46" s="63">
        <f t="shared" si="18"/>
        <v>1</v>
      </c>
      <c r="AD46" s="63">
        <f t="shared" si="18"/>
        <v>1</v>
      </c>
      <c r="AE46" s="63">
        <f t="shared" si="18"/>
        <v>1</v>
      </c>
      <c r="AF46" s="67">
        <f t="shared" si="18"/>
        <v>1</v>
      </c>
    </row>
    <row r="47" spans="2:16384" ht="15.75" thickBot="1" x14ac:dyDescent="0.3">
      <c r="F47" s="367" t="s">
        <v>262</v>
      </c>
      <c r="G47" s="366" t="s">
        <v>0</v>
      </c>
      <c r="H47" s="365">
        <f>D30</f>
        <v>1.0071399999999999</v>
      </c>
      <c r="I47" s="241">
        <f t="shared" ref="I47:AF47" si="19">H47*(1+$D$31)</f>
        <v>1.1078540000000001</v>
      </c>
      <c r="J47" s="241">
        <f t="shared" si="19"/>
        <v>1.2186394000000003</v>
      </c>
      <c r="K47" s="241">
        <f t="shared" si="19"/>
        <v>1.3405033400000004</v>
      </c>
      <c r="L47" s="241">
        <f t="shared" si="19"/>
        <v>1.4745536740000005</v>
      </c>
      <c r="M47" s="241">
        <f t="shared" si="19"/>
        <v>1.6220090414000006</v>
      </c>
      <c r="N47" s="241">
        <f t="shared" si="19"/>
        <v>1.7842099455400007</v>
      </c>
      <c r="O47" s="241">
        <f t="shared" si="19"/>
        <v>1.962630940094001</v>
      </c>
      <c r="P47" s="241">
        <f t="shared" si="19"/>
        <v>2.1588940341034011</v>
      </c>
      <c r="Q47" s="241">
        <f t="shared" si="19"/>
        <v>2.3747834375137415</v>
      </c>
      <c r="R47" s="241">
        <f t="shared" si="19"/>
        <v>2.6122617812651159</v>
      </c>
      <c r="S47" s="241">
        <f t="shared" si="19"/>
        <v>2.8734879593916278</v>
      </c>
      <c r="T47" s="241">
        <f t="shared" si="19"/>
        <v>3.160836755330791</v>
      </c>
      <c r="U47" s="241">
        <f t="shared" si="19"/>
        <v>3.4769204308638706</v>
      </c>
      <c r="V47" s="241">
        <f t="shared" si="19"/>
        <v>3.8246124739502578</v>
      </c>
      <c r="W47" s="241">
        <f t="shared" si="19"/>
        <v>4.2070737213452842</v>
      </c>
      <c r="X47" s="241">
        <f t="shared" si="19"/>
        <v>4.6277810934798129</v>
      </c>
      <c r="Y47" s="241">
        <f t="shared" si="19"/>
        <v>5.0905592028277944</v>
      </c>
      <c r="Z47" s="241">
        <f t="shared" si="19"/>
        <v>5.5996151231105742</v>
      </c>
      <c r="AA47" s="241">
        <f t="shared" si="19"/>
        <v>6.1595766354216321</v>
      </c>
      <c r="AB47" s="241">
        <f t="shared" si="19"/>
        <v>6.7755342989637963</v>
      </c>
      <c r="AC47" s="241">
        <f t="shared" si="19"/>
        <v>7.4530877288601767</v>
      </c>
      <c r="AD47" s="241">
        <f t="shared" si="19"/>
        <v>8.1983965017461955</v>
      </c>
      <c r="AE47" s="241">
        <f t="shared" si="19"/>
        <v>9.0182361519208154</v>
      </c>
      <c r="AF47" s="164">
        <f t="shared" si="19"/>
        <v>9.9200597671128978</v>
      </c>
    </row>
    <row r="48" spans="2:16384" ht="15.75" thickBot="1" x14ac:dyDescent="0.3">
      <c r="F48" s="364" t="s">
        <v>2</v>
      </c>
      <c r="G48" s="323" t="s">
        <v>0</v>
      </c>
      <c r="H48" s="363">
        <f t="shared" ref="H48:AF48" si="20">SUM(H45:H47)</f>
        <v>2.3119800000000001</v>
      </c>
      <c r="I48" s="362">
        <f t="shared" si="20"/>
        <v>2.4126940000000001</v>
      </c>
      <c r="J48" s="362">
        <f t="shared" si="20"/>
        <v>2.5387214</v>
      </c>
      <c r="K48" s="362">
        <f t="shared" si="20"/>
        <v>2.6765894400000008</v>
      </c>
      <c r="L48" s="362">
        <f t="shared" si="20"/>
        <v>2.8274440790000006</v>
      </c>
      <c r="M48" s="362">
        <f t="shared" si="20"/>
        <v>2.9925439666500004</v>
      </c>
      <c r="N48" s="362">
        <f t="shared" si="20"/>
        <v>3.1732716170525008</v>
      </c>
      <c r="O48" s="362">
        <f t="shared" si="20"/>
        <v>3.3711456951821264</v>
      </c>
      <c r="P48" s="362">
        <f t="shared" si="20"/>
        <v>3.5878345269459322</v>
      </c>
      <c r="Q48" s="362">
        <f t="shared" si="20"/>
        <v>3.8251709549983994</v>
      </c>
      <c r="R48" s="362">
        <f t="shared" si="20"/>
        <v>4.0851686746240068</v>
      </c>
      <c r="S48" s="362">
        <f t="shared" si="20"/>
        <v>4.3700401974184633</v>
      </c>
      <c r="T48" s="362">
        <f t="shared" si="20"/>
        <v>4.6822166052589687</v>
      </c>
      <c r="U48" s="362">
        <f t="shared" si="20"/>
        <v>5.0243692732884568</v>
      </c>
      <c r="V48" s="362">
        <f t="shared" si="20"/>
        <v>5.3994337584960732</v>
      </c>
      <c r="W48" s="362">
        <f t="shared" si="20"/>
        <v>5.8106360701183908</v>
      </c>
      <c r="X48" s="362">
        <f t="shared" si="20"/>
        <v>6.261521559691575</v>
      </c>
      <c r="Y48" s="362">
        <f t="shared" si="20"/>
        <v>6.7559866923501444</v>
      </c>
      <c r="Z48" s="362">
        <f t="shared" si="20"/>
        <v>7.2983139871090419</v>
      </c>
      <c r="AA48" s="362">
        <f t="shared" si="20"/>
        <v>7.8932104426200231</v>
      </c>
      <c r="AB48" s="362">
        <f t="shared" si="20"/>
        <v>8.5458497965221056</v>
      </c>
      <c r="AC48" s="362">
        <f t="shared" si="20"/>
        <v>9.2619190012964019</v>
      </c>
      <c r="AD48" s="362">
        <f t="shared" si="20"/>
        <v>10.047669337804233</v>
      </c>
      <c r="AE48" s="362">
        <f t="shared" si="20"/>
        <v>10.909972629781755</v>
      </c>
      <c r="AF48" s="361">
        <f t="shared" si="20"/>
        <v>11.856383068866883</v>
      </c>
    </row>
  </sheetData>
  <mergeCells count="4">
    <mergeCell ref="A16:A18"/>
    <mergeCell ref="A19:A21"/>
    <mergeCell ref="B29:D29"/>
    <mergeCell ref="B32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F0E4-8AF1-4402-B6FE-648BBE012EBF}">
  <sheetPr>
    <tabColor rgb="FF002060"/>
  </sheetPr>
  <dimension ref="A1:AB11"/>
  <sheetViews>
    <sheetView topLeftCell="L1" workbookViewId="0">
      <selection activeCell="E15" sqref="E15"/>
    </sheetView>
  </sheetViews>
  <sheetFormatPr defaultRowHeight="15" x14ac:dyDescent="0.25"/>
  <cols>
    <col min="1" max="1" width="30" bestFit="1" customWidth="1"/>
    <col min="2" max="2" width="9.140625" style="12"/>
    <col min="4" max="28" width="12.7109375" bestFit="1" customWidth="1"/>
  </cols>
  <sheetData>
    <row r="1" spans="1:28" ht="15.75" thickBot="1" x14ac:dyDescent="0.3"/>
    <row r="2" spans="1:28" s="2" customFormat="1" ht="15.75" thickBot="1" x14ac:dyDescent="0.3">
      <c r="A2" s="179" t="s">
        <v>92</v>
      </c>
      <c r="B2" s="490" t="s">
        <v>1</v>
      </c>
      <c r="C2" s="181" t="s">
        <v>99</v>
      </c>
      <c r="D2" s="489">
        <v>1</v>
      </c>
      <c r="E2" s="488">
        <v>2</v>
      </c>
      <c r="F2" s="488">
        <v>3</v>
      </c>
      <c r="G2" s="488">
        <v>4</v>
      </c>
      <c r="H2" s="488">
        <v>5</v>
      </c>
      <c r="I2" s="488">
        <v>6</v>
      </c>
      <c r="J2" s="488">
        <v>7</v>
      </c>
      <c r="K2" s="488">
        <v>8</v>
      </c>
      <c r="L2" s="488">
        <v>9</v>
      </c>
      <c r="M2" s="488">
        <v>10</v>
      </c>
      <c r="N2" s="488">
        <v>11</v>
      </c>
      <c r="O2" s="488">
        <v>12</v>
      </c>
      <c r="P2" s="488">
        <v>13</v>
      </c>
      <c r="Q2" s="488">
        <v>14</v>
      </c>
      <c r="R2" s="488">
        <v>15</v>
      </c>
      <c r="S2" s="488">
        <v>16</v>
      </c>
      <c r="T2" s="488">
        <v>17</v>
      </c>
      <c r="U2" s="488">
        <v>18</v>
      </c>
      <c r="V2" s="488">
        <v>19</v>
      </c>
      <c r="W2" s="488">
        <v>20</v>
      </c>
      <c r="X2" s="488">
        <v>21</v>
      </c>
      <c r="Y2" s="488">
        <v>22</v>
      </c>
      <c r="Z2" s="488">
        <v>23</v>
      </c>
      <c r="AA2" s="488">
        <v>24</v>
      </c>
      <c r="AB2" s="487">
        <v>25</v>
      </c>
    </row>
    <row r="3" spans="1:28" x14ac:dyDescent="0.25">
      <c r="A3" s="74" t="s">
        <v>93</v>
      </c>
      <c r="B3" s="486" t="s">
        <v>23</v>
      </c>
      <c r="C3" s="75"/>
      <c r="D3" s="485">
        <v>1</v>
      </c>
      <c r="E3" s="484">
        <v>1</v>
      </c>
      <c r="F3" s="223">
        <v>1</v>
      </c>
      <c r="G3" s="223">
        <v>1</v>
      </c>
      <c r="H3" s="223">
        <v>1</v>
      </c>
      <c r="I3" s="223">
        <v>1</v>
      </c>
      <c r="J3" s="223">
        <v>1</v>
      </c>
      <c r="K3" s="223">
        <v>1</v>
      </c>
      <c r="L3" s="223">
        <v>1</v>
      </c>
      <c r="M3" s="223">
        <v>1</v>
      </c>
      <c r="N3" s="223">
        <v>1</v>
      </c>
      <c r="O3" s="223">
        <v>1</v>
      </c>
      <c r="P3" s="223">
        <v>1</v>
      </c>
      <c r="Q3" s="223">
        <v>1</v>
      </c>
      <c r="R3" s="223">
        <v>1</v>
      </c>
      <c r="S3" s="223">
        <v>1</v>
      </c>
      <c r="T3" s="223">
        <v>1</v>
      </c>
      <c r="U3" s="223">
        <v>1</v>
      </c>
      <c r="V3" s="223">
        <v>1</v>
      </c>
      <c r="W3" s="223">
        <v>1</v>
      </c>
      <c r="X3" s="223">
        <v>1</v>
      </c>
      <c r="Y3" s="223">
        <v>1</v>
      </c>
      <c r="Z3" s="223">
        <v>1</v>
      </c>
      <c r="AA3" s="223">
        <v>1</v>
      </c>
      <c r="AB3" s="197">
        <v>1</v>
      </c>
    </row>
    <row r="4" spans="1:28" x14ac:dyDescent="0.25">
      <c r="A4" s="66" t="s">
        <v>305</v>
      </c>
      <c r="B4" s="304"/>
      <c r="C4" s="73"/>
      <c r="D4" s="117">
        <f>'S - SPM Pre-GST'!$C$4</f>
        <v>0.20519999999999999</v>
      </c>
      <c r="E4" s="178">
        <f>'S - SPM Pre-GST'!$C$4</f>
        <v>0.20519999999999999</v>
      </c>
      <c r="F4" s="178">
        <f>'S - SPM Pre-GST'!$C$4</f>
        <v>0.20519999999999999</v>
      </c>
      <c r="G4" s="178">
        <f>'S - SPM Pre-GST'!$C$4</f>
        <v>0.20519999999999999</v>
      </c>
      <c r="H4" s="178">
        <f>'S - SPM Pre-GST'!$C$4</f>
        <v>0.20519999999999999</v>
      </c>
      <c r="I4" s="178">
        <f>'S - SPM Pre-GST'!$C$4</f>
        <v>0.20519999999999999</v>
      </c>
      <c r="J4" s="178">
        <f>'S - SPM Pre-GST'!$C$4</f>
        <v>0.20519999999999999</v>
      </c>
      <c r="K4" s="178">
        <f>'S - SPM Pre-GST'!$C$4</f>
        <v>0.20519999999999999</v>
      </c>
      <c r="L4" s="178">
        <f>'S - SPM Pre-GST'!$C$4</f>
        <v>0.20519999999999999</v>
      </c>
      <c r="M4" s="178">
        <f>'S - SPM Pre-GST'!$C$4</f>
        <v>0.20519999999999999</v>
      </c>
      <c r="N4" s="178">
        <f>'S - SPM Pre-GST'!$C$4</f>
        <v>0.20519999999999999</v>
      </c>
      <c r="O4" s="178">
        <f>'S - SPM Pre-GST'!$C$4</f>
        <v>0.20519999999999999</v>
      </c>
      <c r="P4" s="178">
        <f>'S - SPM Pre-GST'!$C$4</f>
        <v>0.20519999999999999</v>
      </c>
      <c r="Q4" s="178">
        <f>'S - SPM Pre-GST'!$C$4</f>
        <v>0.20519999999999999</v>
      </c>
      <c r="R4" s="178">
        <f>'S - SPM Pre-GST'!$C$4</f>
        <v>0.20519999999999999</v>
      </c>
      <c r="S4" s="178">
        <f>'S - SPM Pre-GST'!$C$4</f>
        <v>0.20519999999999999</v>
      </c>
      <c r="T4" s="178">
        <f>'S - SPM Pre-GST'!$C$4</f>
        <v>0.20519999999999999</v>
      </c>
      <c r="U4" s="178">
        <f>'S - SPM Pre-GST'!$C$4</f>
        <v>0.20519999999999999</v>
      </c>
      <c r="V4" s="178">
        <f>'S - SPM Pre-GST'!$C$4</f>
        <v>0.20519999999999999</v>
      </c>
      <c r="W4" s="178">
        <f>'S - SPM Pre-GST'!$C$4</f>
        <v>0.20519999999999999</v>
      </c>
      <c r="X4" s="178">
        <f>'S - SPM Pre-GST'!$C$4</f>
        <v>0.20519999999999999</v>
      </c>
      <c r="Y4" s="178">
        <f>'S - SPM Pre-GST'!$C$4</f>
        <v>0.20519999999999999</v>
      </c>
      <c r="Z4" s="178">
        <f>'S - SPM Pre-GST'!$C$4</f>
        <v>0.20519999999999999</v>
      </c>
      <c r="AA4" s="178">
        <f>'S - SPM Pre-GST'!$C$4</f>
        <v>0.20519999999999999</v>
      </c>
      <c r="AB4" s="277">
        <f>'S - SPM Pre-GST'!$C$4</f>
        <v>0.20519999999999999</v>
      </c>
    </row>
    <row r="5" spans="1:28" x14ac:dyDescent="0.25">
      <c r="A5" s="66" t="s">
        <v>95</v>
      </c>
      <c r="B5" s="304" t="s">
        <v>98</v>
      </c>
      <c r="C5" s="73"/>
      <c r="D5" s="483">
        <f t="shared" ref="D5:AB5" si="0">365*24*D3*1000</f>
        <v>8760000</v>
      </c>
      <c r="E5" s="207">
        <f t="shared" si="0"/>
        <v>8760000</v>
      </c>
      <c r="F5" s="207">
        <f t="shared" si="0"/>
        <v>8760000</v>
      </c>
      <c r="G5" s="207">
        <f t="shared" si="0"/>
        <v>8760000</v>
      </c>
      <c r="H5" s="207">
        <f t="shared" si="0"/>
        <v>8760000</v>
      </c>
      <c r="I5" s="207">
        <f t="shared" si="0"/>
        <v>8760000</v>
      </c>
      <c r="J5" s="207">
        <f t="shared" si="0"/>
        <v>8760000</v>
      </c>
      <c r="K5" s="207">
        <f t="shared" si="0"/>
        <v>8760000</v>
      </c>
      <c r="L5" s="207">
        <f t="shared" si="0"/>
        <v>8760000</v>
      </c>
      <c r="M5" s="207">
        <f t="shared" si="0"/>
        <v>8760000</v>
      </c>
      <c r="N5" s="207">
        <f t="shared" si="0"/>
        <v>8760000</v>
      </c>
      <c r="O5" s="207">
        <f t="shared" si="0"/>
        <v>8760000</v>
      </c>
      <c r="P5" s="207">
        <f t="shared" si="0"/>
        <v>8760000</v>
      </c>
      <c r="Q5" s="207">
        <f t="shared" si="0"/>
        <v>8760000</v>
      </c>
      <c r="R5" s="207">
        <f t="shared" si="0"/>
        <v>8760000</v>
      </c>
      <c r="S5" s="207">
        <f t="shared" si="0"/>
        <v>8760000</v>
      </c>
      <c r="T5" s="207">
        <f t="shared" si="0"/>
        <v>8760000</v>
      </c>
      <c r="U5" s="207">
        <f t="shared" si="0"/>
        <v>8760000</v>
      </c>
      <c r="V5" s="207">
        <f t="shared" si="0"/>
        <v>8760000</v>
      </c>
      <c r="W5" s="207">
        <f t="shared" si="0"/>
        <v>8760000</v>
      </c>
      <c r="X5" s="207">
        <f t="shared" si="0"/>
        <v>8760000</v>
      </c>
      <c r="Y5" s="207">
        <f t="shared" si="0"/>
        <v>8760000</v>
      </c>
      <c r="Z5" s="207">
        <f t="shared" si="0"/>
        <v>8760000</v>
      </c>
      <c r="AA5" s="207">
        <f t="shared" si="0"/>
        <v>8760000</v>
      </c>
      <c r="AB5" s="185">
        <f t="shared" si="0"/>
        <v>8760000</v>
      </c>
    </row>
    <row r="6" spans="1:28" x14ac:dyDescent="0.25">
      <c r="A6" s="66" t="s">
        <v>316</v>
      </c>
      <c r="B6" s="304" t="s">
        <v>98</v>
      </c>
      <c r="C6" s="73"/>
      <c r="D6" s="483">
        <f t="shared" ref="D6:AB6" si="1">D5*D4</f>
        <v>1797552</v>
      </c>
      <c r="E6" s="207">
        <f t="shared" si="1"/>
        <v>1797552</v>
      </c>
      <c r="F6" s="207">
        <f t="shared" si="1"/>
        <v>1797552</v>
      </c>
      <c r="G6" s="207">
        <f t="shared" si="1"/>
        <v>1797552</v>
      </c>
      <c r="H6" s="207">
        <f t="shared" si="1"/>
        <v>1797552</v>
      </c>
      <c r="I6" s="207">
        <f t="shared" si="1"/>
        <v>1797552</v>
      </c>
      <c r="J6" s="207">
        <f t="shared" si="1"/>
        <v>1797552</v>
      </c>
      <c r="K6" s="207">
        <f t="shared" si="1"/>
        <v>1797552</v>
      </c>
      <c r="L6" s="207">
        <f t="shared" si="1"/>
        <v>1797552</v>
      </c>
      <c r="M6" s="207">
        <f t="shared" si="1"/>
        <v>1797552</v>
      </c>
      <c r="N6" s="207">
        <f t="shared" si="1"/>
        <v>1797552</v>
      </c>
      <c r="O6" s="207">
        <f t="shared" si="1"/>
        <v>1797552</v>
      </c>
      <c r="P6" s="207">
        <f t="shared" si="1"/>
        <v>1797552</v>
      </c>
      <c r="Q6" s="207">
        <f t="shared" si="1"/>
        <v>1797552</v>
      </c>
      <c r="R6" s="207">
        <f t="shared" si="1"/>
        <v>1797552</v>
      </c>
      <c r="S6" s="207">
        <f t="shared" si="1"/>
        <v>1797552</v>
      </c>
      <c r="T6" s="207">
        <f t="shared" si="1"/>
        <v>1797552</v>
      </c>
      <c r="U6" s="207">
        <f t="shared" si="1"/>
        <v>1797552</v>
      </c>
      <c r="V6" s="207">
        <f t="shared" si="1"/>
        <v>1797552</v>
      </c>
      <c r="W6" s="207">
        <f t="shared" si="1"/>
        <v>1797552</v>
      </c>
      <c r="X6" s="207">
        <f t="shared" si="1"/>
        <v>1797552</v>
      </c>
      <c r="Y6" s="207">
        <f t="shared" si="1"/>
        <v>1797552</v>
      </c>
      <c r="Z6" s="207">
        <f t="shared" si="1"/>
        <v>1797552</v>
      </c>
      <c r="AA6" s="207">
        <f t="shared" si="1"/>
        <v>1797552</v>
      </c>
      <c r="AB6" s="185">
        <f t="shared" si="1"/>
        <v>1797552</v>
      </c>
    </row>
    <row r="7" spans="1:28" ht="15.75" thickBot="1" x14ac:dyDescent="0.3">
      <c r="A7" s="141" t="s">
        <v>97</v>
      </c>
      <c r="B7" s="305" t="s">
        <v>315</v>
      </c>
      <c r="C7" s="111"/>
      <c r="D7" s="118">
        <f t="shared" ref="D7:AB7" si="2">D6*(10^-6)</f>
        <v>1.7975519999999998</v>
      </c>
      <c r="E7" s="119">
        <f t="shared" si="2"/>
        <v>1.7975519999999998</v>
      </c>
      <c r="F7" s="119">
        <f t="shared" si="2"/>
        <v>1.7975519999999998</v>
      </c>
      <c r="G7" s="119">
        <f t="shared" si="2"/>
        <v>1.7975519999999998</v>
      </c>
      <c r="H7" s="119">
        <f t="shared" si="2"/>
        <v>1.7975519999999998</v>
      </c>
      <c r="I7" s="119">
        <f t="shared" si="2"/>
        <v>1.7975519999999998</v>
      </c>
      <c r="J7" s="119">
        <f t="shared" si="2"/>
        <v>1.7975519999999998</v>
      </c>
      <c r="K7" s="119">
        <f t="shared" si="2"/>
        <v>1.7975519999999998</v>
      </c>
      <c r="L7" s="119">
        <f t="shared" si="2"/>
        <v>1.7975519999999998</v>
      </c>
      <c r="M7" s="119">
        <f t="shared" si="2"/>
        <v>1.7975519999999998</v>
      </c>
      <c r="N7" s="119">
        <f t="shared" si="2"/>
        <v>1.7975519999999998</v>
      </c>
      <c r="O7" s="119">
        <f t="shared" si="2"/>
        <v>1.7975519999999998</v>
      </c>
      <c r="P7" s="119">
        <f t="shared" si="2"/>
        <v>1.7975519999999998</v>
      </c>
      <c r="Q7" s="119">
        <f t="shared" si="2"/>
        <v>1.7975519999999998</v>
      </c>
      <c r="R7" s="119">
        <f t="shared" si="2"/>
        <v>1.7975519999999998</v>
      </c>
      <c r="S7" s="119">
        <f t="shared" si="2"/>
        <v>1.7975519999999998</v>
      </c>
      <c r="T7" s="119">
        <f t="shared" si="2"/>
        <v>1.7975519999999998</v>
      </c>
      <c r="U7" s="119">
        <f t="shared" si="2"/>
        <v>1.7975519999999998</v>
      </c>
      <c r="V7" s="119">
        <f t="shared" si="2"/>
        <v>1.7975519999999998</v>
      </c>
      <c r="W7" s="119">
        <f t="shared" si="2"/>
        <v>1.7975519999999998</v>
      </c>
      <c r="X7" s="119">
        <f t="shared" si="2"/>
        <v>1.7975519999999998</v>
      </c>
      <c r="Y7" s="119">
        <f t="shared" si="2"/>
        <v>1.7975519999999998</v>
      </c>
      <c r="Z7" s="119">
        <f t="shared" si="2"/>
        <v>1.7975519999999998</v>
      </c>
      <c r="AA7" s="119">
        <f t="shared" si="2"/>
        <v>1.7975519999999998</v>
      </c>
      <c r="AB7" s="120">
        <f t="shared" si="2"/>
        <v>1.7975519999999998</v>
      </c>
    </row>
    <row r="8" spans="1:28" x14ac:dyDescent="0.25">
      <c r="A8" s="479" t="s">
        <v>314</v>
      </c>
      <c r="B8" s="478"/>
      <c r="C8" s="477"/>
      <c r="D8" s="482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0"/>
    </row>
    <row r="9" spans="1:28" ht="15.75" thickBot="1" x14ac:dyDescent="0.3">
      <c r="A9" s="141" t="s">
        <v>312</v>
      </c>
      <c r="B9" s="305" t="s">
        <v>311</v>
      </c>
      <c r="C9" s="111"/>
      <c r="D9" s="473">
        <f ca="1">D7*10*'S - SPM Pre-GST'!$G$12</f>
        <v>49.252924800000002</v>
      </c>
      <c r="E9" s="472">
        <f ca="1">E7*10*'S - SPM Pre-GST'!$G$12</f>
        <v>49.252924800000002</v>
      </c>
      <c r="F9" s="472">
        <f ca="1">F7*10*'S - SPM Pre-GST'!$G$12</f>
        <v>49.252924800000002</v>
      </c>
      <c r="G9" s="472">
        <f ca="1">G7*10*'S - SPM Pre-GST'!$G$12</f>
        <v>49.252924800000002</v>
      </c>
      <c r="H9" s="472">
        <f ca="1">H7*10*'S - SPM Pre-GST'!$G$12</f>
        <v>49.252924800000002</v>
      </c>
      <c r="I9" s="472">
        <f ca="1">I7*10*'S - SPM Pre-GST'!$G$12</f>
        <v>49.252924800000002</v>
      </c>
      <c r="J9" s="472">
        <f ca="1">J7*10*'S - SPM Pre-GST'!$G$12</f>
        <v>49.252924800000002</v>
      </c>
      <c r="K9" s="472">
        <f ca="1">K7*10*'S - SPM Pre-GST'!$G$12</f>
        <v>49.252924800000002</v>
      </c>
      <c r="L9" s="472">
        <f ca="1">L7*10*'S - SPM Pre-GST'!$G$12</f>
        <v>49.252924800000002</v>
      </c>
      <c r="M9" s="472">
        <f ca="1">M7*10*'S - SPM Pre-GST'!$G$12</f>
        <v>49.252924800000002</v>
      </c>
      <c r="N9" s="472">
        <f ca="1">N7*10*'S - SPM Pre-GST'!$G$12</f>
        <v>49.252924800000002</v>
      </c>
      <c r="O9" s="472">
        <f ca="1">O7*10*'S - SPM Pre-GST'!$G$12</f>
        <v>49.252924800000002</v>
      </c>
      <c r="P9" s="472">
        <f ca="1">P7*10*'S - SPM Pre-GST'!$G$12</f>
        <v>49.252924800000002</v>
      </c>
      <c r="Q9" s="472">
        <f ca="1">Q7*10*'S - SPM Pre-GST'!$G$12</f>
        <v>49.252924800000002</v>
      </c>
      <c r="R9" s="472">
        <f ca="1">R7*10*'S - SPM Pre-GST'!$G$12</f>
        <v>49.252924800000002</v>
      </c>
      <c r="S9" s="472">
        <f ca="1">S7*10*'S - SPM Pre-GST'!$G$12</f>
        <v>49.252924800000002</v>
      </c>
      <c r="T9" s="472">
        <f ca="1">T7*10*'S - SPM Pre-GST'!$G$12</f>
        <v>49.252924800000002</v>
      </c>
      <c r="U9" s="472">
        <f ca="1">U7*10*'S - SPM Pre-GST'!$G$12</f>
        <v>49.252924800000002</v>
      </c>
      <c r="V9" s="472">
        <f ca="1">V7*10*'S - SPM Pre-GST'!$G$12</f>
        <v>49.252924800000002</v>
      </c>
      <c r="W9" s="472">
        <f ca="1">W7*10*'S - SPM Pre-GST'!$G$12</f>
        <v>49.252924800000002</v>
      </c>
      <c r="X9" s="472">
        <f ca="1">X7*10*'S - SPM Pre-GST'!$G$12</f>
        <v>49.252924800000002</v>
      </c>
      <c r="Y9" s="472">
        <f ca="1">Y7*10*'S - SPM Pre-GST'!$G$12</f>
        <v>49.252924800000002</v>
      </c>
      <c r="Z9" s="472">
        <f ca="1">Z7*10*'S - SPM Pre-GST'!$G$12</f>
        <v>49.252924800000002</v>
      </c>
      <c r="AA9" s="472">
        <f ca="1">AA7*10*'S - SPM Pre-GST'!$G$12</f>
        <v>49.252924800000002</v>
      </c>
      <c r="AB9" s="471">
        <f ca="1">AB7*10*'S - SPM Pre-GST'!$G$12</f>
        <v>49.252924800000002</v>
      </c>
    </row>
    <row r="10" spans="1:28" x14ac:dyDescent="0.25">
      <c r="A10" s="479" t="s">
        <v>313</v>
      </c>
      <c r="B10" s="478"/>
      <c r="C10" s="477"/>
      <c r="D10" s="476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4"/>
    </row>
    <row r="11" spans="1:28" ht="15.75" thickBot="1" x14ac:dyDescent="0.3">
      <c r="A11" s="141" t="s">
        <v>312</v>
      </c>
      <c r="B11" s="305" t="s">
        <v>311</v>
      </c>
      <c r="C11" s="111"/>
      <c r="D11" s="473">
        <f ca="1">D7*10*'S - SPM Post-GST'!$G$10</f>
        <v>52.129007999999999</v>
      </c>
      <c r="E11" s="472">
        <f ca="1">E7*10*'S - SPM Post-GST'!$G$10</f>
        <v>52.129007999999999</v>
      </c>
      <c r="F11" s="472">
        <f ca="1">F7*10*'S - SPM Post-GST'!$G$10</f>
        <v>52.129007999999999</v>
      </c>
      <c r="G11" s="472">
        <f ca="1">G7*10*'S - SPM Post-GST'!$G$10</f>
        <v>52.129007999999999</v>
      </c>
      <c r="H11" s="472">
        <f ca="1">H7*10*'S - SPM Post-GST'!$G$10</f>
        <v>52.129007999999999</v>
      </c>
      <c r="I11" s="472">
        <f ca="1">I7*10*'S - SPM Post-GST'!$G$10</f>
        <v>52.129007999999999</v>
      </c>
      <c r="J11" s="472">
        <f ca="1">J7*10*'S - SPM Post-GST'!$G$10</f>
        <v>52.129007999999999</v>
      </c>
      <c r="K11" s="472">
        <f ca="1">K7*10*'S - SPM Post-GST'!$G$10</f>
        <v>52.129007999999999</v>
      </c>
      <c r="L11" s="472">
        <f ca="1">L7*10*'S - SPM Post-GST'!$G$10</f>
        <v>52.129007999999999</v>
      </c>
      <c r="M11" s="472">
        <f ca="1">M7*10*'S - SPM Post-GST'!$G$10</f>
        <v>52.129007999999999</v>
      </c>
      <c r="N11" s="472">
        <f ca="1">N7*10*'S - SPM Post-GST'!$G$10</f>
        <v>52.129007999999999</v>
      </c>
      <c r="O11" s="472">
        <f ca="1">O7*10*'S - SPM Post-GST'!$G$10</f>
        <v>52.129007999999999</v>
      </c>
      <c r="P11" s="472">
        <f ca="1">P7*10*'S - SPM Post-GST'!$G$10</f>
        <v>52.129007999999999</v>
      </c>
      <c r="Q11" s="472">
        <f ca="1">Q7*10*'S - SPM Post-GST'!$G$10</f>
        <v>52.129007999999999</v>
      </c>
      <c r="R11" s="472">
        <f ca="1">R7*10*'S - SPM Post-GST'!$G$10</f>
        <v>52.129007999999999</v>
      </c>
      <c r="S11" s="472">
        <f ca="1">S7*10*'S - SPM Post-GST'!$G$10</f>
        <v>52.129007999999999</v>
      </c>
      <c r="T11" s="472">
        <f ca="1">T7*10*'S - SPM Post-GST'!$G$10</f>
        <v>52.129007999999999</v>
      </c>
      <c r="U11" s="472">
        <f ca="1">U7*10*'S - SPM Post-GST'!$G$10</f>
        <v>52.129007999999999</v>
      </c>
      <c r="V11" s="472">
        <f ca="1">V7*10*'S - SPM Post-GST'!$G$10</f>
        <v>52.129007999999999</v>
      </c>
      <c r="W11" s="472">
        <f ca="1">W7*10*'S - SPM Post-GST'!$G$10</f>
        <v>52.129007999999999</v>
      </c>
      <c r="X11" s="472">
        <f ca="1">X7*10*'S - SPM Post-GST'!$G$10</f>
        <v>52.129007999999999</v>
      </c>
      <c r="Y11" s="472">
        <f ca="1">Y7*10*'S - SPM Post-GST'!$G$10</f>
        <v>52.129007999999999</v>
      </c>
      <c r="Z11" s="472">
        <f ca="1">Z7*10*'S - SPM Post-GST'!$G$10</f>
        <v>52.129007999999999</v>
      </c>
      <c r="AA11" s="472">
        <f ca="1">AA7*10*'S - SPM Post-GST'!$G$10</f>
        <v>52.129007999999999</v>
      </c>
      <c r="AB11" s="471">
        <f ca="1">AB7*10*'S - SPM Post-GST'!$G$10</f>
        <v>52.129007999999999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2D95-C6AB-4CDE-B65A-3ACB62B7E822}">
  <sheetPr>
    <tabColor theme="0" tint="-0.499984740745262"/>
  </sheetPr>
  <dimension ref="A1:AB17"/>
  <sheetViews>
    <sheetView topLeftCell="A2" workbookViewId="0">
      <selection activeCell="J36" sqref="J36"/>
    </sheetView>
  </sheetViews>
  <sheetFormatPr defaultRowHeight="15" x14ac:dyDescent="0.25"/>
  <cols>
    <col min="1" max="1" width="23" bestFit="1" customWidth="1"/>
    <col min="2" max="2" width="8.28515625" customWidth="1"/>
    <col min="3" max="3" width="11.85546875" style="12" customWidth="1"/>
    <col min="4" max="28" width="9.85546875" bestFit="1" customWidth="1"/>
  </cols>
  <sheetData>
    <row r="1" spans="1:28" x14ac:dyDescent="0.25">
      <c r="A1" s="35" t="s">
        <v>51</v>
      </c>
    </row>
    <row r="3" spans="1:28" ht="15.75" thickBot="1" x14ac:dyDescent="0.3">
      <c r="A3" s="35" t="s">
        <v>314</v>
      </c>
    </row>
    <row r="4" spans="1:28" s="55" customFormat="1" ht="15.75" thickBot="1" x14ac:dyDescent="0.3">
      <c r="C4" s="310" t="s">
        <v>1</v>
      </c>
      <c r="D4" s="504">
        <v>1</v>
      </c>
      <c r="E4" s="490">
        <v>2</v>
      </c>
      <c r="F4" s="490">
        <v>3</v>
      </c>
      <c r="G4" s="490">
        <v>4</v>
      </c>
      <c r="H4" s="490">
        <v>5</v>
      </c>
      <c r="I4" s="490">
        <v>6</v>
      </c>
      <c r="J4" s="490">
        <v>7</v>
      </c>
      <c r="K4" s="490">
        <v>8</v>
      </c>
      <c r="L4" s="490">
        <v>9</v>
      </c>
      <c r="M4" s="490">
        <v>10</v>
      </c>
      <c r="N4" s="490">
        <v>11</v>
      </c>
      <c r="O4" s="490">
        <v>12</v>
      </c>
      <c r="P4" s="490">
        <v>13</v>
      </c>
      <c r="Q4" s="490">
        <v>14</v>
      </c>
      <c r="R4" s="490">
        <v>15</v>
      </c>
      <c r="S4" s="490">
        <v>16</v>
      </c>
      <c r="T4" s="490">
        <v>17</v>
      </c>
      <c r="U4" s="490">
        <v>18</v>
      </c>
      <c r="V4" s="490">
        <v>19</v>
      </c>
      <c r="W4" s="490">
        <v>20</v>
      </c>
      <c r="X4" s="490">
        <v>21</v>
      </c>
      <c r="Y4" s="490">
        <v>22</v>
      </c>
      <c r="Z4" s="490">
        <v>23</v>
      </c>
      <c r="AA4" s="490">
        <v>24</v>
      </c>
      <c r="AB4" s="503">
        <v>25</v>
      </c>
    </row>
    <row r="5" spans="1:28" x14ac:dyDescent="0.25">
      <c r="A5" s="198" t="s">
        <v>54</v>
      </c>
      <c r="B5" s="152"/>
      <c r="C5" s="502" t="s">
        <v>0</v>
      </c>
      <c r="D5" s="501">
        <f>'S - SPM Pre-GST'!H17/12</f>
        <v>0.42287499999999995</v>
      </c>
      <c r="E5" s="500">
        <f>'S - SPM Pre-GST'!I17/12</f>
        <v>0.44401874999999996</v>
      </c>
      <c r="F5" s="500">
        <f>'S - SPM Pre-GST'!J17/12</f>
        <v>0.46621968749999998</v>
      </c>
      <c r="G5" s="500">
        <f>'S - SPM Pre-GST'!K17/12</f>
        <v>0.48953067187500005</v>
      </c>
      <c r="H5" s="500">
        <f>'S - SPM Pre-GST'!L17/12</f>
        <v>0.51400720546875001</v>
      </c>
      <c r="I5" s="500">
        <f>'S - SPM Pre-GST'!M17/12</f>
        <v>0.53970756574218759</v>
      </c>
      <c r="J5" s="500">
        <f>'S - SPM Pre-GST'!N17/12</f>
        <v>0.56669294402929693</v>
      </c>
      <c r="K5" s="500">
        <f>'S - SPM Pre-GST'!O17/12</f>
        <v>0.59502759123076177</v>
      </c>
      <c r="L5" s="500">
        <f>'S - SPM Pre-GST'!P17/12</f>
        <v>0.62477897079229994</v>
      </c>
      <c r="M5" s="500">
        <f>'S - SPM Pre-GST'!Q17/12</f>
        <v>0.656017919331915</v>
      </c>
      <c r="N5" s="500">
        <f>'S - SPM Pre-GST'!R17/12</f>
        <v>0.68881881529851074</v>
      </c>
      <c r="O5" s="500">
        <f>'S - SPM Pre-GST'!S17/12</f>
        <v>0.72325975606343629</v>
      </c>
      <c r="P5" s="500">
        <f>'S - SPM Pre-GST'!T17/12</f>
        <v>0.75942274386660813</v>
      </c>
      <c r="Q5" s="500">
        <f>'S - SPM Pre-GST'!U17/12</f>
        <v>0.79739388105993847</v>
      </c>
      <c r="R5" s="500">
        <f>'S - SPM Pre-GST'!V17/12</f>
        <v>0.83726357511293548</v>
      </c>
      <c r="S5" s="500">
        <f>'S - SPM Pre-GST'!W17/12</f>
        <v>0.87912675386858219</v>
      </c>
      <c r="T5" s="500">
        <f>'S - SPM Pre-GST'!X17/12</f>
        <v>0.9230830915620114</v>
      </c>
      <c r="U5" s="500">
        <f>'S - SPM Pre-GST'!Y17/12</f>
        <v>0.96923724614011197</v>
      </c>
      <c r="V5" s="500">
        <f>'S - SPM Pre-GST'!Z17/12</f>
        <v>1.0176991084471176</v>
      </c>
      <c r="W5" s="500">
        <f>'S - SPM Pre-GST'!AA17/12</f>
        <v>1.0685840638694735</v>
      </c>
      <c r="X5" s="500">
        <f>'S - SPM Pre-GST'!AB17/12</f>
        <v>1.1220132670629472</v>
      </c>
      <c r="Y5" s="500">
        <f>'S - SPM Pre-GST'!AC17/12</f>
        <v>1.1781139304160946</v>
      </c>
      <c r="Z5" s="500">
        <f>'S - SPM Pre-GST'!AD17/12</f>
        <v>1.2370196269368994</v>
      </c>
      <c r="AA5" s="500">
        <f>'S - SPM Pre-GST'!AE17/12</f>
        <v>1.2988706082837445</v>
      </c>
      <c r="AB5" s="499">
        <f>'S - SPM Pre-GST'!AF17/12</f>
        <v>1.3638141386979317</v>
      </c>
    </row>
    <row r="6" spans="1:28" x14ac:dyDescent="0.25">
      <c r="A6" s="66" t="s">
        <v>318</v>
      </c>
      <c r="B6" s="31">
        <v>0.15</v>
      </c>
      <c r="C6" s="498" t="s">
        <v>0</v>
      </c>
      <c r="D6" s="113">
        <f t="shared" ref="D6:AB6" si="0">D5*$B$6*12</f>
        <v>0.76117499999999993</v>
      </c>
      <c r="E6" s="108">
        <f t="shared" si="0"/>
        <v>0.79923374999999997</v>
      </c>
      <c r="F6" s="108">
        <f t="shared" si="0"/>
        <v>0.83919543749999992</v>
      </c>
      <c r="G6" s="108">
        <f t="shared" si="0"/>
        <v>0.88115520937500014</v>
      </c>
      <c r="H6" s="108">
        <f t="shared" si="0"/>
        <v>0.92521296984375001</v>
      </c>
      <c r="I6" s="108">
        <f t="shared" si="0"/>
        <v>0.97147361833593759</v>
      </c>
      <c r="J6" s="108">
        <f t="shared" si="0"/>
        <v>1.0200472992527345</v>
      </c>
      <c r="K6" s="108">
        <f t="shared" si="0"/>
        <v>1.0710496642153711</v>
      </c>
      <c r="L6" s="108">
        <f t="shared" si="0"/>
        <v>1.1246021474261398</v>
      </c>
      <c r="M6" s="108">
        <f t="shared" si="0"/>
        <v>1.180832254797447</v>
      </c>
      <c r="N6" s="108">
        <f t="shared" si="0"/>
        <v>1.2398738675373193</v>
      </c>
      <c r="O6" s="108">
        <f t="shared" si="0"/>
        <v>1.3018675609141854</v>
      </c>
      <c r="P6" s="108">
        <f t="shared" si="0"/>
        <v>1.3669609389598945</v>
      </c>
      <c r="Q6" s="108">
        <f t="shared" si="0"/>
        <v>1.4353089859078891</v>
      </c>
      <c r="R6" s="108">
        <f t="shared" si="0"/>
        <v>1.5070744352032837</v>
      </c>
      <c r="S6" s="108">
        <f t="shared" si="0"/>
        <v>1.5824281569634477</v>
      </c>
      <c r="T6" s="108">
        <f t="shared" si="0"/>
        <v>1.6615495648116205</v>
      </c>
      <c r="U6" s="108">
        <f t="shared" si="0"/>
        <v>1.7446270430522017</v>
      </c>
      <c r="V6" s="108">
        <f t="shared" si="0"/>
        <v>1.8318583952048118</v>
      </c>
      <c r="W6" s="108">
        <f t="shared" si="0"/>
        <v>1.9234513149650523</v>
      </c>
      <c r="X6" s="108">
        <f t="shared" si="0"/>
        <v>2.0196238807133051</v>
      </c>
      <c r="Y6" s="108">
        <f t="shared" si="0"/>
        <v>2.1206050747489704</v>
      </c>
      <c r="Z6" s="108">
        <f t="shared" si="0"/>
        <v>2.2266353284864189</v>
      </c>
      <c r="AA6" s="108">
        <f t="shared" si="0"/>
        <v>2.3379670949107401</v>
      </c>
      <c r="AB6" s="19">
        <f t="shared" si="0"/>
        <v>2.454865449656277</v>
      </c>
    </row>
    <row r="7" spans="1:28" x14ac:dyDescent="0.25">
      <c r="A7" s="66" t="s">
        <v>312</v>
      </c>
      <c r="B7" s="73"/>
      <c r="C7" s="497" t="s">
        <v>0</v>
      </c>
      <c r="D7" s="113">
        <f ca="1">'S - Generation'!D9</f>
        <v>49.252924800000002</v>
      </c>
      <c r="E7" s="108">
        <f ca="1">'S - Generation'!E9</f>
        <v>49.252924800000002</v>
      </c>
      <c r="F7" s="108">
        <f ca="1">'S - Generation'!F9</f>
        <v>49.252924800000002</v>
      </c>
      <c r="G7" s="108">
        <f ca="1">'S - Generation'!G9</f>
        <v>49.252924800000002</v>
      </c>
      <c r="H7" s="108">
        <f ca="1">'S - Generation'!H9</f>
        <v>49.252924800000002</v>
      </c>
      <c r="I7" s="108">
        <f ca="1">'S - Generation'!I9</f>
        <v>49.252924800000002</v>
      </c>
      <c r="J7" s="108">
        <f ca="1">'S - Generation'!J9</f>
        <v>49.252924800000002</v>
      </c>
      <c r="K7" s="108">
        <f ca="1">'S - Generation'!K9</f>
        <v>49.252924800000002</v>
      </c>
      <c r="L7" s="108">
        <f ca="1">'S - Generation'!L9</f>
        <v>49.252924800000002</v>
      </c>
      <c r="M7" s="108">
        <f ca="1">'S - Generation'!M9</f>
        <v>49.252924800000002</v>
      </c>
      <c r="N7" s="108">
        <f ca="1">'S - Generation'!N9</f>
        <v>49.252924800000002</v>
      </c>
      <c r="O7" s="108">
        <f ca="1">'S - Generation'!O9</f>
        <v>49.252924800000002</v>
      </c>
      <c r="P7" s="108">
        <f ca="1">'S - Generation'!P9</f>
        <v>49.252924800000002</v>
      </c>
      <c r="Q7" s="108">
        <f ca="1">'S - Generation'!Q9</f>
        <v>49.252924800000002</v>
      </c>
      <c r="R7" s="108">
        <f ca="1">'S - Generation'!R9</f>
        <v>49.252924800000002</v>
      </c>
      <c r="S7" s="108">
        <f ca="1">'S - Generation'!S9</f>
        <v>49.252924800000002</v>
      </c>
      <c r="T7" s="108">
        <f ca="1">'S - Generation'!T9</f>
        <v>49.252924800000002</v>
      </c>
      <c r="U7" s="108">
        <f ca="1">'S - Generation'!U9</f>
        <v>49.252924800000002</v>
      </c>
      <c r="V7" s="108">
        <f ca="1">'S - Generation'!V9</f>
        <v>49.252924800000002</v>
      </c>
      <c r="W7" s="108">
        <f ca="1">'S - Generation'!W9</f>
        <v>49.252924800000002</v>
      </c>
      <c r="X7" s="108">
        <f ca="1">'S - Generation'!X9</f>
        <v>49.252924800000002</v>
      </c>
      <c r="Y7" s="108">
        <f ca="1">'S - Generation'!Y9</f>
        <v>49.252924800000002</v>
      </c>
      <c r="Z7" s="108">
        <f ca="1">'S - Generation'!Z9</f>
        <v>49.252924800000002</v>
      </c>
      <c r="AA7" s="108">
        <f ca="1">'S - Generation'!AA9</f>
        <v>49.252924800000002</v>
      </c>
      <c r="AB7" s="19">
        <f ca="1">'S - Generation'!AB9</f>
        <v>49.252924800000002</v>
      </c>
    </row>
    <row r="8" spans="1:28" ht="15.75" thickBot="1" x14ac:dyDescent="0.3">
      <c r="A8" s="141" t="s">
        <v>317</v>
      </c>
      <c r="B8" s="111"/>
      <c r="C8" s="496" t="s">
        <v>0</v>
      </c>
      <c r="D8" s="472">
        <f t="shared" ref="D8:AB8" ca="1" si="1">SUM(D5:D7)</f>
        <v>50.436974800000002</v>
      </c>
      <c r="E8" s="258">
        <f t="shared" ca="1" si="1"/>
        <v>50.496177299999999</v>
      </c>
      <c r="F8" s="258">
        <f t="shared" ca="1" si="1"/>
        <v>50.558339925000006</v>
      </c>
      <c r="G8" s="258">
        <f t="shared" ca="1" si="1"/>
        <v>50.62361068125</v>
      </c>
      <c r="H8" s="258">
        <f t="shared" ca="1" si="1"/>
        <v>50.692144975312502</v>
      </c>
      <c r="I8" s="258">
        <f t="shared" ca="1" si="1"/>
        <v>50.764105984078128</v>
      </c>
      <c r="J8" s="258">
        <f t="shared" ca="1" si="1"/>
        <v>50.839665043282032</v>
      </c>
      <c r="K8" s="258">
        <f t="shared" ca="1" si="1"/>
        <v>50.919002055446136</v>
      </c>
      <c r="L8" s="258">
        <f t="shared" ca="1" si="1"/>
        <v>51.00230591821844</v>
      </c>
      <c r="M8" s="258">
        <f t="shared" ca="1" si="1"/>
        <v>51.089774974129362</v>
      </c>
      <c r="N8" s="258">
        <f t="shared" ca="1" si="1"/>
        <v>51.181617482835833</v>
      </c>
      <c r="O8" s="258">
        <f t="shared" ca="1" si="1"/>
        <v>51.278052116977626</v>
      </c>
      <c r="P8" s="258">
        <f t="shared" ca="1" si="1"/>
        <v>51.379308482826502</v>
      </c>
      <c r="Q8" s="258">
        <f t="shared" ca="1" si="1"/>
        <v>51.485627666967829</v>
      </c>
      <c r="R8" s="258">
        <f t="shared" ca="1" si="1"/>
        <v>51.597262810316224</v>
      </c>
      <c r="S8" s="258">
        <f t="shared" ca="1" si="1"/>
        <v>51.71447971083203</v>
      </c>
      <c r="T8" s="258">
        <f t="shared" ca="1" si="1"/>
        <v>51.837557456373631</v>
      </c>
      <c r="U8" s="258">
        <f t="shared" ca="1" si="1"/>
        <v>51.966789089192318</v>
      </c>
      <c r="V8" s="258">
        <f t="shared" ca="1" si="1"/>
        <v>52.102482303651932</v>
      </c>
      <c r="W8" s="258">
        <f t="shared" ca="1" si="1"/>
        <v>52.244960178834532</v>
      </c>
      <c r="X8" s="258">
        <f t="shared" ca="1" si="1"/>
        <v>52.394561947776253</v>
      </c>
      <c r="Y8" s="258">
        <f t="shared" ca="1" si="1"/>
        <v>52.551643805165071</v>
      </c>
      <c r="Z8" s="258">
        <f t="shared" ca="1" si="1"/>
        <v>52.716579755423318</v>
      </c>
      <c r="AA8" s="258">
        <f t="shared" ca="1" si="1"/>
        <v>52.88976250319449</v>
      </c>
      <c r="AB8" s="259">
        <f t="shared" ca="1" si="1"/>
        <v>53.07160438835421</v>
      </c>
    </row>
    <row r="9" spans="1:28" s="2" customFormat="1" ht="15.75" thickBot="1" x14ac:dyDescent="0.3">
      <c r="A9" s="495" t="s">
        <v>81</v>
      </c>
      <c r="B9" s="494">
        <v>0.1326</v>
      </c>
      <c r="C9" s="493" t="s">
        <v>0</v>
      </c>
      <c r="D9" s="492">
        <f t="shared" ref="D9:AB9" ca="1" si="2">$B$9*D8</f>
        <v>6.6879428584799996</v>
      </c>
      <c r="E9" s="491">
        <f t="shared" ca="1" si="2"/>
        <v>6.6957931099799994</v>
      </c>
      <c r="F9" s="491">
        <f t="shared" ca="1" si="2"/>
        <v>6.7040358740550001</v>
      </c>
      <c r="G9" s="491">
        <f t="shared" ca="1" si="2"/>
        <v>6.7126907763337496</v>
      </c>
      <c r="H9" s="491">
        <f t="shared" ca="1" si="2"/>
        <v>6.7217784237264375</v>
      </c>
      <c r="I9" s="491">
        <f t="shared" ca="1" si="2"/>
        <v>6.7313204534887596</v>
      </c>
      <c r="J9" s="491">
        <f t="shared" ca="1" si="2"/>
        <v>6.7413395847391975</v>
      </c>
      <c r="K9" s="491">
        <f t="shared" ca="1" si="2"/>
        <v>6.7518596725521576</v>
      </c>
      <c r="L9" s="491">
        <f t="shared" ca="1" si="2"/>
        <v>6.7629057647557653</v>
      </c>
      <c r="M9" s="491">
        <f t="shared" ca="1" si="2"/>
        <v>6.7745041615695536</v>
      </c>
      <c r="N9" s="491">
        <f t="shared" ca="1" si="2"/>
        <v>6.7866824782240309</v>
      </c>
      <c r="O9" s="491">
        <f t="shared" ca="1" si="2"/>
        <v>6.7994697107112332</v>
      </c>
      <c r="P9" s="491">
        <f t="shared" ca="1" si="2"/>
        <v>6.812896304822794</v>
      </c>
      <c r="Q9" s="491">
        <f t="shared" ca="1" si="2"/>
        <v>6.8269942286399337</v>
      </c>
      <c r="R9" s="491">
        <f t="shared" ca="1" si="2"/>
        <v>6.8417970486479307</v>
      </c>
      <c r="S9" s="491">
        <f t="shared" ca="1" si="2"/>
        <v>6.8573400096563271</v>
      </c>
      <c r="T9" s="491">
        <f t="shared" ca="1" si="2"/>
        <v>6.8736601187151436</v>
      </c>
      <c r="U9" s="491">
        <f t="shared" ca="1" si="2"/>
        <v>6.8907962332269008</v>
      </c>
      <c r="V9" s="491">
        <f t="shared" ca="1" si="2"/>
        <v>6.9087891534642463</v>
      </c>
      <c r="W9" s="491">
        <f t="shared" ca="1" si="2"/>
        <v>6.9276817197134584</v>
      </c>
      <c r="X9" s="491">
        <f t="shared" ca="1" si="2"/>
        <v>6.9475189142751308</v>
      </c>
      <c r="Y9" s="491">
        <f t="shared" ca="1" si="2"/>
        <v>6.9683479685648884</v>
      </c>
      <c r="Z9" s="491">
        <f t="shared" ca="1" si="2"/>
        <v>6.9902184755691321</v>
      </c>
      <c r="AA9" s="491">
        <f t="shared" ca="1" si="2"/>
        <v>7.013182507923589</v>
      </c>
      <c r="AB9" s="167">
        <f t="shared" ca="1" si="2"/>
        <v>7.0372947418957681</v>
      </c>
    </row>
    <row r="11" spans="1:28" ht="15.75" thickBot="1" x14ac:dyDescent="0.3">
      <c r="A11" s="35" t="s">
        <v>313</v>
      </c>
    </row>
    <row r="12" spans="1:28" s="55" customFormat="1" ht="15.75" thickBot="1" x14ac:dyDescent="0.3">
      <c r="C12" s="310" t="s">
        <v>1</v>
      </c>
      <c r="D12" s="504">
        <v>1</v>
      </c>
      <c r="E12" s="490">
        <v>2</v>
      </c>
      <c r="F12" s="490">
        <v>3</v>
      </c>
      <c r="G12" s="490">
        <v>4</v>
      </c>
      <c r="H12" s="490">
        <v>5</v>
      </c>
      <c r="I12" s="490">
        <v>6</v>
      </c>
      <c r="J12" s="490">
        <v>7</v>
      </c>
      <c r="K12" s="490">
        <v>8</v>
      </c>
      <c r="L12" s="490">
        <v>9</v>
      </c>
      <c r="M12" s="490">
        <v>10</v>
      </c>
      <c r="N12" s="490">
        <v>11</v>
      </c>
      <c r="O12" s="490">
        <v>12</v>
      </c>
      <c r="P12" s="490">
        <v>13</v>
      </c>
      <c r="Q12" s="490">
        <v>14</v>
      </c>
      <c r="R12" s="490">
        <v>15</v>
      </c>
      <c r="S12" s="490">
        <v>16</v>
      </c>
      <c r="T12" s="490">
        <v>17</v>
      </c>
      <c r="U12" s="490">
        <v>18</v>
      </c>
      <c r="V12" s="490">
        <v>19</v>
      </c>
      <c r="W12" s="490">
        <v>20</v>
      </c>
      <c r="X12" s="490">
        <v>21</v>
      </c>
      <c r="Y12" s="490">
        <v>22</v>
      </c>
      <c r="Z12" s="490">
        <v>23</v>
      </c>
      <c r="AA12" s="490">
        <v>24</v>
      </c>
      <c r="AB12" s="503">
        <v>25</v>
      </c>
    </row>
    <row r="13" spans="1:28" x14ac:dyDescent="0.25">
      <c r="A13" s="198" t="s">
        <v>54</v>
      </c>
      <c r="B13" s="152"/>
      <c r="C13" s="502" t="s">
        <v>0</v>
      </c>
      <c r="D13" s="501">
        <f>'S - SPM Post-GST'!H17/12</f>
        <v>0.44785124999999998</v>
      </c>
      <c r="E13" s="500">
        <f>'S - SPM Post-GST'!I17/12</f>
        <v>0.47024381249999997</v>
      </c>
      <c r="F13" s="500">
        <f>'S - SPM Post-GST'!J17/12</f>
        <v>0.49375600312499995</v>
      </c>
      <c r="G13" s="500">
        <f>'S - SPM Post-GST'!K17/12</f>
        <v>0.51844380328125006</v>
      </c>
      <c r="H13" s="500">
        <f>'S - SPM Post-GST'!L17/12</f>
        <v>0.54436599344531256</v>
      </c>
      <c r="I13" s="500">
        <f>'S - SPM Post-GST'!M17/12</f>
        <v>0.57158429311757819</v>
      </c>
      <c r="J13" s="500">
        <f>'S - SPM Post-GST'!N17/12</f>
        <v>0.60016350777345706</v>
      </c>
      <c r="K13" s="500">
        <f>'S - SPM Post-GST'!O17/12</f>
        <v>0.6301716831621299</v>
      </c>
      <c r="L13" s="500">
        <f>'S - SPM Post-GST'!P17/12</f>
        <v>0.66168026732023644</v>
      </c>
      <c r="M13" s="500">
        <f>'S - SPM Post-GST'!Q17/12</f>
        <v>0.69476428068624829</v>
      </c>
      <c r="N13" s="500">
        <f>'S - SPM Post-GST'!R17/12</f>
        <v>0.72950249472056072</v>
      </c>
      <c r="O13" s="500">
        <f>'S - SPM Post-GST'!S17/12</f>
        <v>0.76597761945658893</v>
      </c>
      <c r="P13" s="500">
        <f>'S - SPM Post-GST'!T17/12</f>
        <v>0.80427650042941845</v>
      </c>
      <c r="Q13" s="500">
        <f>'S - SPM Post-GST'!U17/12</f>
        <v>0.84449032545088931</v>
      </c>
      <c r="R13" s="500">
        <f>'S - SPM Post-GST'!V17/12</f>
        <v>0.88671484172343373</v>
      </c>
      <c r="S13" s="500">
        <f>'S - SPM Post-GST'!W17/12</f>
        <v>0.93105058380960548</v>
      </c>
      <c r="T13" s="500">
        <f>'S - SPM Post-GST'!X17/12</f>
        <v>0.97760311300008584</v>
      </c>
      <c r="U13" s="500">
        <f>'S - SPM Post-GST'!Y17/12</f>
        <v>1.0264832686500902</v>
      </c>
      <c r="V13" s="500">
        <f>'S - SPM Post-GST'!Z17/12</f>
        <v>1.0778074320825948</v>
      </c>
      <c r="W13" s="500">
        <f>'S - SPM Post-GST'!AA17/12</f>
        <v>1.1316978036867245</v>
      </c>
      <c r="X13" s="500">
        <f>'S - SPM Post-GST'!AB17/12</f>
        <v>1.1882826938710609</v>
      </c>
      <c r="Y13" s="500">
        <f>'S - SPM Post-GST'!AC17/12</f>
        <v>1.2476968285646139</v>
      </c>
      <c r="Z13" s="500">
        <f>'S - SPM Post-GST'!AD17/12</f>
        <v>1.3100816699928446</v>
      </c>
      <c r="AA13" s="500">
        <f>'S - SPM Post-GST'!AE17/12</f>
        <v>1.3755857534924869</v>
      </c>
      <c r="AB13" s="499">
        <f>'S - SPM Post-GST'!AF17/12</f>
        <v>1.4443650411671112</v>
      </c>
    </row>
    <row r="14" spans="1:28" x14ac:dyDescent="0.25">
      <c r="A14" s="66" t="s">
        <v>318</v>
      </c>
      <c r="B14" s="31">
        <v>0.15</v>
      </c>
      <c r="C14" s="498" t="s">
        <v>0</v>
      </c>
      <c r="D14" s="113">
        <f t="shared" ref="D14:AB14" si="3">D13*$B$14*12</f>
        <v>0.80613224999999999</v>
      </c>
      <c r="E14" s="108">
        <f t="shared" si="3"/>
        <v>0.84643886249999989</v>
      </c>
      <c r="F14" s="108">
        <f t="shared" si="3"/>
        <v>0.88876080562499982</v>
      </c>
      <c r="G14" s="108">
        <f t="shared" si="3"/>
        <v>0.93319884590625013</v>
      </c>
      <c r="H14" s="108">
        <f t="shared" si="3"/>
        <v>0.97985878820156258</v>
      </c>
      <c r="I14" s="108">
        <f t="shared" si="3"/>
        <v>1.0288517276116407</v>
      </c>
      <c r="J14" s="108">
        <f t="shared" si="3"/>
        <v>1.0802943139922228</v>
      </c>
      <c r="K14" s="108">
        <f t="shared" si="3"/>
        <v>1.1343090296918337</v>
      </c>
      <c r="L14" s="108">
        <f t="shared" si="3"/>
        <v>1.1910244811764257</v>
      </c>
      <c r="M14" s="108">
        <f t="shared" si="3"/>
        <v>1.2505757052352469</v>
      </c>
      <c r="N14" s="108">
        <f t="shared" si="3"/>
        <v>1.3131044904970093</v>
      </c>
      <c r="O14" s="108">
        <f t="shared" si="3"/>
        <v>1.37875971502186</v>
      </c>
      <c r="P14" s="108">
        <f t="shared" si="3"/>
        <v>1.4476977007729532</v>
      </c>
      <c r="Q14" s="108">
        <f t="shared" si="3"/>
        <v>1.5200825858116009</v>
      </c>
      <c r="R14" s="108">
        <f t="shared" si="3"/>
        <v>1.5960867151021807</v>
      </c>
      <c r="S14" s="108">
        <f t="shared" si="3"/>
        <v>1.6758910508572897</v>
      </c>
      <c r="T14" s="108">
        <f t="shared" si="3"/>
        <v>1.7596856034001545</v>
      </c>
      <c r="U14" s="108">
        <f t="shared" si="3"/>
        <v>1.8476698835701624</v>
      </c>
      <c r="V14" s="108">
        <f t="shared" si="3"/>
        <v>1.9400533777486706</v>
      </c>
      <c r="W14" s="108">
        <f t="shared" si="3"/>
        <v>2.0370560466361041</v>
      </c>
      <c r="X14" s="108">
        <f t="shared" si="3"/>
        <v>2.1389088489679096</v>
      </c>
      <c r="Y14" s="108">
        <f t="shared" si="3"/>
        <v>2.2458542914163049</v>
      </c>
      <c r="Z14" s="108">
        <f t="shared" si="3"/>
        <v>2.3581470059871199</v>
      </c>
      <c r="AA14" s="108">
        <f t="shared" si="3"/>
        <v>2.4760543562864763</v>
      </c>
      <c r="AB14" s="19">
        <f t="shared" si="3"/>
        <v>2.5998570741007998</v>
      </c>
    </row>
    <row r="15" spans="1:28" x14ac:dyDescent="0.25">
      <c r="A15" s="66" t="s">
        <v>312</v>
      </c>
      <c r="B15" s="73"/>
      <c r="C15" s="497" t="s">
        <v>0</v>
      </c>
      <c r="D15" s="113">
        <f ca="1">'S - Generation'!D11</f>
        <v>52.129007999999999</v>
      </c>
      <c r="E15" s="108">
        <f ca="1">'S - Generation'!E11</f>
        <v>52.129007999999999</v>
      </c>
      <c r="F15" s="108">
        <f ca="1">'S - Generation'!F11</f>
        <v>52.129007999999999</v>
      </c>
      <c r="G15" s="108">
        <f ca="1">'S - Generation'!G11</f>
        <v>52.129007999999999</v>
      </c>
      <c r="H15" s="108">
        <f ca="1">'S - Generation'!H11</f>
        <v>52.129007999999999</v>
      </c>
      <c r="I15" s="108">
        <f ca="1">'S - Generation'!I11</f>
        <v>52.129007999999999</v>
      </c>
      <c r="J15" s="108">
        <f ca="1">'S - Generation'!J11</f>
        <v>52.129007999999999</v>
      </c>
      <c r="K15" s="108">
        <f ca="1">'S - Generation'!K11</f>
        <v>52.129007999999999</v>
      </c>
      <c r="L15" s="108">
        <f ca="1">'S - Generation'!L11</f>
        <v>52.129007999999999</v>
      </c>
      <c r="M15" s="108">
        <f ca="1">'S - Generation'!M11</f>
        <v>52.129007999999999</v>
      </c>
      <c r="N15" s="108">
        <f ca="1">'S - Generation'!N11</f>
        <v>52.129007999999999</v>
      </c>
      <c r="O15" s="108">
        <f ca="1">'S - Generation'!O11</f>
        <v>52.129007999999999</v>
      </c>
      <c r="P15" s="108">
        <f ca="1">'S - Generation'!P11</f>
        <v>52.129007999999999</v>
      </c>
      <c r="Q15" s="108">
        <f ca="1">'S - Generation'!Q11</f>
        <v>52.129007999999999</v>
      </c>
      <c r="R15" s="108">
        <f ca="1">'S - Generation'!R11</f>
        <v>52.129007999999999</v>
      </c>
      <c r="S15" s="108">
        <f ca="1">'S - Generation'!S11</f>
        <v>52.129007999999999</v>
      </c>
      <c r="T15" s="108">
        <f ca="1">'S - Generation'!T11</f>
        <v>52.129007999999999</v>
      </c>
      <c r="U15" s="108">
        <f ca="1">'S - Generation'!U11</f>
        <v>52.129007999999999</v>
      </c>
      <c r="V15" s="108">
        <f ca="1">'S - Generation'!V11</f>
        <v>52.129007999999999</v>
      </c>
      <c r="W15" s="108">
        <f ca="1">'S - Generation'!W11</f>
        <v>52.129007999999999</v>
      </c>
      <c r="X15" s="108">
        <f ca="1">'S - Generation'!X11</f>
        <v>52.129007999999999</v>
      </c>
      <c r="Y15" s="108">
        <f ca="1">'S - Generation'!Y11</f>
        <v>52.129007999999999</v>
      </c>
      <c r="Z15" s="108">
        <f ca="1">'S - Generation'!Z11</f>
        <v>52.129007999999999</v>
      </c>
      <c r="AA15" s="108">
        <f ca="1">'S - Generation'!AA11</f>
        <v>52.129007999999999</v>
      </c>
      <c r="AB15" s="19">
        <f ca="1">'S - Generation'!AB11</f>
        <v>52.129007999999999</v>
      </c>
    </row>
    <row r="16" spans="1:28" ht="15.75" thickBot="1" x14ac:dyDescent="0.3">
      <c r="A16" s="141" t="s">
        <v>317</v>
      </c>
      <c r="B16" s="111"/>
      <c r="C16" s="496" t="s">
        <v>0</v>
      </c>
      <c r="D16" s="472">
        <f t="shared" ref="D16:AB16" ca="1" si="4">SUM(D13:D15)</f>
        <v>53.382991499999996</v>
      </c>
      <c r="E16" s="258">
        <f t="shared" ca="1" si="4"/>
        <v>53.445690675000002</v>
      </c>
      <c r="F16" s="258">
        <f t="shared" ca="1" si="4"/>
        <v>53.511524808749996</v>
      </c>
      <c r="G16" s="258">
        <f t="shared" ca="1" si="4"/>
        <v>53.580650649187497</v>
      </c>
      <c r="H16" s="258">
        <f t="shared" ca="1" si="4"/>
        <v>53.653232781646871</v>
      </c>
      <c r="I16" s="258">
        <f t="shared" ca="1" si="4"/>
        <v>53.729444020729218</v>
      </c>
      <c r="J16" s="258">
        <f t="shared" ca="1" si="4"/>
        <v>53.809465821765677</v>
      </c>
      <c r="K16" s="258">
        <f t="shared" ca="1" si="4"/>
        <v>53.893488712853966</v>
      </c>
      <c r="L16" s="258">
        <f t="shared" ca="1" si="4"/>
        <v>53.981712748496662</v>
      </c>
      <c r="M16" s="258">
        <f t="shared" ca="1" si="4"/>
        <v>54.074347985921491</v>
      </c>
      <c r="N16" s="258">
        <f t="shared" ca="1" si="4"/>
        <v>54.171614985217566</v>
      </c>
      <c r="O16" s="258">
        <f t="shared" ca="1" si="4"/>
        <v>54.273745334478448</v>
      </c>
      <c r="P16" s="258">
        <f t="shared" ca="1" si="4"/>
        <v>54.380982201202372</v>
      </c>
      <c r="Q16" s="258">
        <f t="shared" ca="1" si="4"/>
        <v>54.493580911262491</v>
      </c>
      <c r="R16" s="258">
        <f t="shared" ca="1" si="4"/>
        <v>54.611809556825612</v>
      </c>
      <c r="S16" s="258">
        <f t="shared" ca="1" si="4"/>
        <v>54.735949634666895</v>
      </c>
      <c r="T16" s="258">
        <f t="shared" ca="1" si="4"/>
        <v>54.866296716400242</v>
      </c>
      <c r="U16" s="258">
        <f t="shared" ca="1" si="4"/>
        <v>55.003161152220251</v>
      </c>
      <c r="V16" s="258">
        <f t="shared" ca="1" si="4"/>
        <v>55.146868809831261</v>
      </c>
      <c r="W16" s="258">
        <f t="shared" ca="1" si="4"/>
        <v>55.297761850322829</v>
      </c>
      <c r="X16" s="258">
        <f t="shared" ca="1" si="4"/>
        <v>55.456199542838966</v>
      </c>
      <c r="Y16" s="258">
        <f t="shared" ca="1" si="4"/>
        <v>55.62255911998092</v>
      </c>
      <c r="Z16" s="258">
        <f t="shared" ca="1" si="4"/>
        <v>55.79723667597996</v>
      </c>
      <c r="AA16" s="258">
        <f t="shared" ca="1" si="4"/>
        <v>55.980648109778961</v>
      </c>
      <c r="AB16" s="259">
        <f t="shared" ca="1" si="4"/>
        <v>56.173230115267913</v>
      </c>
    </row>
    <row r="17" spans="1:28" s="2" customFormat="1" ht="15.75" thickBot="1" x14ac:dyDescent="0.3">
      <c r="A17" s="495" t="s">
        <v>81</v>
      </c>
      <c r="B17" s="494">
        <v>0.1326</v>
      </c>
      <c r="C17" s="493" t="s">
        <v>0</v>
      </c>
      <c r="D17" s="492">
        <f t="shared" ref="D17:AB17" ca="1" si="5">$B$17*D16</f>
        <v>7.078584672899999</v>
      </c>
      <c r="E17" s="491">
        <f t="shared" ca="1" si="5"/>
        <v>7.0868985835049996</v>
      </c>
      <c r="F17" s="491">
        <f t="shared" ca="1" si="5"/>
        <v>7.0956281896402489</v>
      </c>
      <c r="G17" s="491">
        <f t="shared" ca="1" si="5"/>
        <v>7.104794276082262</v>
      </c>
      <c r="H17" s="491">
        <f t="shared" ca="1" si="5"/>
        <v>7.1144186668463751</v>
      </c>
      <c r="I17" s="491">
        <f t="shared" ca="1" si="5"/>
        <v>7.1245242771486943</v>
      </c>
      <c r="J17" s="491">
        <f t="shared" ca="1" si="5"/>
        <v>7.1351351679661281</v>
      </c>
      <c r="K17" s="491">
        <f t="shared" ca="1" si="5"/>
        <v>7.146276603324436</v>
      </c>
      <c r="L17" s="491">
        <f t="shared" ca="1" si="5"/>
        <v>7.157975110450657</v>
      </c>
      <c r="M17" s="491">
        <f t="shared" ca="1" si="5"/>
        <v>7.1702585429331895</v>
      </c>
      <c r="N17" s="491">
        <f t="shared" ca="1" si="5"/>
        <v>7.1831561470398491</v>
      </c>
      <c r="O17" s="491">
        <f t="shared" ca="1" si="5"/>
        <v>7.1966986313518424</v>
      </c>
      <c r="P17" s="491">
        <f t="shared" ca="1" si="5"/>
        <v>7.210918239879434</v>
      </c>
      <c r="Q17" s="491">
        <f t="shared" ca="1" si="5"/>
        <v>7.2258488288334064</v>
      </c>
      <c r="R17" s="491">
        <f t="shared" ca="1" si="5"/>
        <v>7.2415259472350764</v>
      </c>
      <c r="S17" s="491">
        <f t="shared" ca="1" si="5"/>
        <v>7.2579869215568298</v>
      </c>
      <c r="T17" s="491">
        <f t="shared" ca="1" si="5"/>
        <v>7.2752709445946717</v>
      </c>
      <c r="U17" s="491">
        <f t="shared" ca="1" si="5"/>
        <v>7.2934191687844052</v>
      </c>
      <c r="V17" s="491">
        <f t="shared" ca="1" si="5"/>
        <v>7.3124748041836254</v>
      </c>
      <c r="W17" s="491">
        <f t="shared" ca="1" si="5"/>
        <v>7.3324832213528071</v>
      </c>
      <c r="X17" s="491">
        <f t="shared" ca="1" si="5"/>
        <v>7.3534920593804465</v>
      </c>
      <c r="Y17" s="491">
        <f t="shared" ca="1" si="5"/>
        <v>7.37555133930947</v>
      </c>
      <c r="Z17" s="491">
        <f t="shared" ca="1" si="5"/>
        <v>7.398713583234942</v>
      </c>
      <c r="AA17" s="491">
        <f t="shared" ca="1" si="5"/>
        <v>7.4230339393566904</v>
      </c>
      <c r="AB17" s="167">
        <f t="shared" ca="1" si="5"/>
        <v>7.4485703132845247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B1:M29"/>
  <sheetViews>
    <sheetView workbookViewId="0">
      <selection activeCell="D25" sqref="A1:XFD1048576"/>
    </sheetView>
  </sheetViews>
  <sheetFormatPr defaultRowHeight="15" x14ac:dyDescent="0.25"/>
  <cols>
    <col min="2" max="2" width="24.28515625" bestFit="1" customWidth="1"/>
    <col min="3" max="3" width="35.5703125" bestFit="1" customWidth="1"/>
    <col min="4" max="4" width="14.85546875" bestFit="1" customWidth="1"/>
    <col min="5" max="7" width="11.28515625" customWidth="1"/>
  </cols>
  <sheetData>
    <row r="1" spans="2:13" ht="15.75" thickBot="1" x14ac:dyDescent="0.3">
      <c r="B1" s="35"/>
      <c r="L1" s="8"/>
      <c r="M1" t="s">
        <v>38</v>
      </c>
    </row>
    <row r="2" spans="2:13" ht="15.75" thickBot="1" x14ac:dyDescent="0.3">
      <c r="C2" s="142"/>
      <c r="D2" s="121" t="s">
        <v>1</v>
      </c>
      <c r="E2" s="43" t="s">
        <v>30</v>
      </c>
      <c r="F2" s="43" t="s">
        <v>31</v>
      </c>
      <c r="L2" s="9"/>
      <c r="M2" t="s">
        <v>42</v>
      </c>
    </row>
    <row r="3" spans="2:13" x14ac:dyDescent="0.25">
      <c r="C3" s="74" t="s">
        <v>154</v>
      </c>
      <c r="D3" s="75" t="s">
        <v>23</v>
      </c>
      <c r="E3" s="299">
        <v>500</v>
      </c>
      <c r="F3" s="299">
        <f>E3</f>
        <v>500</v>
      </c>
      <c r="L3" s="10"/>
      <c r="M3" t="s">
        <v>39</v>
      </c>
    </row>
    <row r="4" spans="2:13" x14ac:dyDescent="0.25">
      <c r="C4" s="66" t="s">
        <v>24</v>
      </c>
      <c r="D4" s="73" t="s">
        <v>25</v>
      </c>
      <c r="E4" s="300">
        <v>0.85</v>
      </c>
      <c r="F4" s="300">
        <f>E4</f>
        <v>0.85</v>
      </c>
      <c r="G4" t="s">
        <v>41</v>
      </c>
    </row>
    <row r="5" spans="2:13" x14ac:dyDescent="0.25">
      <c r="C5" s="66" t="s">
        <v>26</v>
      </c>
      <c r="D5" s="73" t="s">
        <v>25</v>
      </c>
      <c r="E5" s="301">
        <v>5.7500000000000002E-2</v>
      </c>
      <c r="F5" s="301">
        <f>E5</f>
        <v>5.7500000000000002E-2</v>
      </c>
      <c r="G5" t="s">
        <v>179</v>
      </c>
    </row>
    <row r="6" spans="2:13" x14ac:dyDescent="0.25">
      <c r="C6" s="66" t="s">
        <v>155</v>
      </c>
      <c r="D6" s="73" t="s">
        <v>23</v>
      </c>
      <c r="E6" s="302">
        <f>E3*(1-E5)</f>
        <v>471.25</v>
      </c>
      <c r="F6" s="302">
        <f>F3*(1-F5)</f>
        <v>471.25</v>
      </c>
    </row>
    <row r="7" spans="2:13" x14ac:dyDescent="0.25">
      <c r="C7" s="66" t="s">
        <v>27</v>
      </c>
      <c r="D7" s="73" t="s">
        <v>28</v>
      </c>
      <c r="E7" s="16">
        <v>25</v>
      </c>
      <c r="F7" s="16">
        <v>25</v>
      </c>
      <c r="G7" t="s">
        <v>41</v>
      </c>
    </row>
    <row r="8" spans="2:13" ht="15.75" thickBot="1" x14ac:dyDescent="0.3">
      <c r="C8" s="141" t="s">
        <v>29</v>
      </c>
      <c r="D8" s="111" t="s">
        <v>3</v>
      </c>
      <c r="E8" s="303">
        <f>'C - Hard Cost'!E11</f>
        <v>4.6499999999999995</v>
      </c>
      <c r="F8" s="303">
        <f>E8</f>
        <v>4.6499999999999995</v>
      </c>
      <c r="G8" t="s">
        <v>179</v>
      </c>
    </row>
    <row r="9" spans="2:13" ht="15.75" thickBot="1" x14ac:dyDescent="0.3"/>
    <row r="10" spans="2:13" x14ac:dyDescent="0.25">
      <c r="B10" s="558" t="s">
        <v>32</v>
      </c>
      <c r="C10" s="290" t="s">
        <v>33</v>
      </c>
      <c r="D10" s="152" t="s">
        <v>25</v>
      </c>
      <c r="E10" s="144">
        <v>0.7</v>
      </c>
      <c r="F10" s="144">
        <v>0.7</v>
      </c>
      <c r="G10" t="s">
        <v>41</v>
      </c>
    </row>
    <row r="11" spans="2:13" x14ac:dyDescent="0.25">
      <c r="B11" s="559"/>
      <c r="C11" s="283" t="s">
        <v>34</v>
      </c>
      <c r="D11" s="73" t="s">
        <v>25</v>
      </c>
      <c r="E11" s="145">
        <v>0.3</v>
      </c>
      <c r="F11" s="145">
        <v>0.3</v>
      </c>
      <c r="G11" t="s">
        <v>41</v>
      </c>
    </row>
    <row r="12" spans="2:13" x14ac:dyDescent="0.25">
      <c r="B12" s="559"/>
      <c r="C12" s="283" t="s">
        <v>35</v>
      </c>
      <c r="D12" s="73" t="s">
        <v>25</v>
      </c>
      <c r="E12" s="146">
        <v>0.1135</v>
      </c>
      <c r="F12" s="146">
        <f>E12</f>
        <v>0.1135</v>
      </c>
      <c r="G12" t="s">
        <v>373</v>
      </c>
    </row>
    <row r="13" spans="2:13" x14ac:dyDescent="0.25">
      <c r="B13" s="559"/>
      <c r="C13" s="283" t="s">
        <v>36</v>
      </c>
      <c r="D13" s="73" t="s">
        <v>25</v>
      </c>
      <c r="E13" s="146">
        <f>'C - RoE'!D25</f>
        <v>0.19705560782120063</v>
      </c>
      <c r="F13" s="146">
        <f>'C - RoE'!D34</f>
        <v>0.19705560782120063</v>
      </c>
      <c r="G13" t="s">
        <v>374</v>
      </c>
    </row>
    <row r="14" spans="2:13" x14ac:dyDescent="0.25">
      <c r="B14" s="559"/>
      <c r="C14" s="283" t="s">
        <v>37</v>
      </c>
      <c r="D14" s="73" t="s">
        <v>25</v>
      </c>
      <c r="E14" s="147">
        <v>0.21342</v>
      </c>
      <c r="F14" s="147">
        <v>0.21342</v>
      </c>
      <c r="G14" t="s">
        <v>180</v>
      </c>
    </row>
    <row r="15" spans="2:13" x14ac:dyDescent="0.25">
      <c r="B15" s="559"/>
      <c r="C15" s="283" t="s">
        <v>40</v>
      </c>
      <c r="D15" s="73" t="s">
        <v>25</v>
      </c>
      <c r="E15" s="147">
        <v>0.155</v>
      </c>
      <c r="F15" s="147">
        <v>0.155</v>
      </c>
      <c r="G15" t="s">
        <v>41</v>
      </c>
    </row>
    <row r="16" spans="2:13" x14ac:dyDescent="0.25">
      <c r="B16" s="559"/>
      <c r="D16" s="73" t="s">
        <v>25</v>
      </c>
      <c r="E16" s="146">
        <f>E11*E15+(E10*E12*(1-E17))</f>
        <v>9.8453944000000002E-2</v>
      </c>
      <c r="F16" s="146">
        <f>F11*F15+(F10*F12*(1-F17))</f>
        <v>9.8453944000000002E-2</v>
      </c>
      <c r="G16" t="s">
        <v>43</v>
      </c>
    </row>
    <row r="17" spans="2:7" ht="15.75" thickBot="1" x14ac:dyDescent="0.3">
      <c r="B17" s="560"/>
      <c r="C17" s="291" t="s">
        <v>44</v>
      </c>
      <c r="D17" s="111" t="s">
        <v>25</v>
      </c>
      <c r="E17" s="148">
        <f>30%+(12%*30%)+3%*(30%+(12%*30%))</f>
        <v>0.34607999999999994</v>
      </c>
      <c r="F17" s="148">
        <f>30%+(12%*30%)+3%*(30%+(12%*30%))</f>
        <v>0.34607999999999994</v>
      </c>
      <c r="G17" t="s">
        <v>180</v>
      </c>
    </row>
    <row r="18" spans="2:7" x14ac:dyDescent="0.25">
      <c r="B18" s="561" t="s">
        <v>45</v>
      </c>
      <c r="C18" s="282" t="s">
        <v>46</v>
      </c>
      <c r="D18" s="75" t="s">
        <v>25</v>
      </c>
      <c r="E18" s="149">
        <v>0.2</v>
      </c>
      <c r="F18" s="149">
        <v>0.2</v>
      </c>
      <c r="G18" t="s">
        <v>41</v>
      </c>
    </row>
    <row r="19" spans="2:7" x14ac:dyDescent="0.25">
      <c r="B19" s="559"/>
      <c r="C19" s="283" t="s">
        <v>47</v>
      </c>
      <c r="D19" s="73" t="s">
        <v>25</v>
      </c>
      <c r="E19" s="150">
        <v>0.128</v>
      </c>
      <c r="F19" s="150">
        <v>0.128</v>
      </c>
      <c r="G19" t="s">
        <v>48</v>
      </c>
    </row>
    <row r="20" spans="2:7" ht="15.75" thickBot="1" x14ac:dyDescent="0.3">
      <c r="B20" s="562"/>
      <c r="C20" s="292" t="s">
        <v>49</v>
      </c>
      <c r="D20" s="154" t="s">
        <v>25</v>
      </c>
      <c r="E20" s="155">
        <v>6.2945699328489507E-2</v>
      </c>
      <c r="F20" s="156">
        <f>AVERAGE(B20:E20)</f>
        <v>6.2945699328489507E-2</v>
      </c>
      <c r="G20" t="s">
        <v>375</v>
      </c>
    </row>
    <row r="21" spans="2:7" x14ac:dyDescent="0.25">
      <c r="B21" s="549" t="s">
        <v>141</v>
      </c>
      <c r="C21" s="290" t="s">
        <v>142</v>
      </c>
      <c r="D21" s="152" t="s">
        <v>131</v>
      </c>
      <c r="E21" s="157">
        <f>AVERAGE(3700,4000)</f>
        <v>3850</v>
      </c>
      <c r="F21" s="157">
        <f>E21</f>
        <v>3850</v>
      </c>
      <c r="G21" t="s">
        <v>179</v>
      </c>
    </row>
    <row r="22" spans="2:7" x14ac:dyDescent="0.25">
      <c r="B22" s="550"/>
      <c r="C22" s="283" t="s">
        <v>143</v>
      </c>
      <c r="D22" s="73" t="s">
        <v>128</v>
      </c>
      <c r="E22" s="158">
        <v>9.8439775000000012</v>
      </c>
      <c r="F22" s="158">
        <v>9.8439775000000012</v>
      </c>
      <c r="G22" t="s">
        <v>179</v>
      </c>
    </row>
    <row r="23" spans="2:7" x14ac:dyDescent="0.25">
      <c r="B23" s="550"/>
      <c r="C23" s="292" t="s">
        <v>197</v>
      </c>
      <c r="D23" s="154" t="s">
        <v>118</v>
      </c>
      <c r="E23" s="206">
        <v>2361.8200000000002</v>
      </c>
      <c r="F23" s="206">
        <f>E23</f>
        <v>2361.8200000000002</v>
      </c>
      <c r="G23" t="s">
        <v>179</v>
      </c>
    </row>
    <row r="24" spans="2:7" x14ac:dyDescent="0.25">
      <c r="B24" s="550"/>
      <c r="C24" s="292" t="s">
        <v>165</v>
      </c>
      <c r="D24" s="154" t="s">
        <v>166</v>
      </c>
      <c r="E24" s="173">
        <f>(E23-E25)/E21</f>
        <v>0.61237306741883124</v>
      </c>
      <c r="F24" s="173">
        <f>(F23-F25)/F21</f>
        <v>0.61237306741883124</v>
      </c>
    </row>
    <row r="25" spans="2:7" x14ac:dyDescent="0.25">
      <c r="B25" s="550"/>
      <c r="C25" s="292" t="s">
        <v>169</v>
      </c>
      <c r="D25" s="154" t="s">
        <v>166</v>
      </c>
      <c r="E25" s="173">
        <f>E27*E26*E22</f>
        <v>4.1836904375000001</v>
      </c>
      <c r="F25" s="173">
        <f>F27*F26*F22</f>
        <v>4.1836904375000001</v>
      </c>
    </row>
    <row r="26" spans="2:7" x14ac:dyDescent="0.25">
      <c r="B26" s="550"/>
      <c r="C26" s="292" t="s">
        <v>170</v>
      </c>
      <c r="D26" s="154"/>
      <c r="E26" s="172">
        <v>0.85</v>
      </c>
      <c r="F26" s="172">
        <v>0.85</v>
      </c>
    </row>
    <row r="27" spans="2:7" ht="15.75" thickBot="1" x14ac:dyDescent="0.3">
      <c r="B27" s="550"/>
      <c r="C27" s="292" t="s">
        <v>125</v>
      </c>
      <c r="D27" s="154" t="s">
        <v>119</v>
      </c>
      <c r="E27" s="174">
        <v>0.5</v>
      </c>
      <c r="F27" s="174">
        <v>0.5</v>
      </c>
      <c r="G27" t="s">
        <v>41</v>
      </c>
    </row>
    <row r="28" spans="2:7" x14ac:dyDescent="0.25">
      <c r="B28" s="558" t="s">
        <v>75</v>
      </c>
      <c r="C28" s="290" t="s">
        <v>160</v>
      </c>
      <c r="D28" s="152"/>
      <c r="E28" s="168">
        <v>5.28E-2</v>
      </c>
      <c r="F28" s="168">
        <f>E28</f>
        <v>5.28E-2</v>
      </c>
      <c r="G28" t="s">
        <v>41</v>
      </c>
    </row>
    <row r="29" spans="2:7" ht="15.75" thickBot="1" x14ac:dyDescent="0.3">
      <c r="B29" s="560"/>
      <c r="C29" s="291" t="s">
        <v>161</v>
      </c>
      <c r="D29" s="111"/>
      <c r="E29" s="151">
        <v>2.0500000000000001E-2</v>
      </c>
      <c r="F29" s="151">
        <f>E29</f>
        <v>2.0500000000000001E-2</v>
      </c>
      <c r="G29" t="s">
        <v>41</v>
      </c>
    </row>
  </sheetData>
  <mergeCells count="4">
    <mergeCell ref="B10:B17"/>
    <mergeCell ref="B18:B20"/>
    <mergeCell ref="B21:B27"/>
    <mergeCell ref="B28:B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E45D-DCEA-475F-B0BD-1246D90CC6B2}">
  <sheetPr>
    <tabColor rgb="FFFF0000"/>
  </sheetPr>
  <dimension ref="B1:AC29"/>
  <sheetViews>
    <sheetView topLeftCell="A9" zoomScaleNormal="100" workbookViewId="0">
      <selection activeCell="B28" sqref="B28"/>
    </sheetView>
  </sheetViews>
  <sheetFormatPr defaultRowHeight="15" x14ac:dyDescent="0.25"/>
  <cols>
    <col min="2" max="2" width="19" bestFit="1" customWidth="1"/>
    <col min="3" max="3" width="9.5703125" bestFit="1" customWidth="1"/>
    <col min="4" max="4" width="9.28515625" bestFit="1" customWidth="1"/>
    <col min="5" max="5" width="10.5703125" bestFit="1" customWidth="1"/>
    <col min="6" max="29" width="10.28515625" bestFit="1" customWidth="1"/>
  </cols>
  <sheetData>
    <row r="1" spans="2:29" x14ac:dyDescent="0.25">
      <c r="B1" s="35" t="s">
        <v>51</v>
      </c>
    </row>
    <row r="2" spans="2:29" ht="15.75" thickBot="1" x14ac:dyDescent="0.3"/>
    <row r="3" spans="2:29" s="2" customFormat="1" ht="15.75" thickBot="1" x14ac:dyDescent="0.3">
      <c r="B3" s="79"/>
      <c r="C3" s="262" t="s">
        <v>1</v>
      </c>
      <c r="D3" s="262" t="s">
        <v>107</v>
      </c>
      <c r="E3" s="82">
        <v>1</v>
      </c>
      <c r="F3" s="82">
        <v>2</v>
      </c>
      <c r="G3" s="82">
        <v>3</v>
      </c>
      <c r="H3" s="82">
        <v>4</v>
      </c>
      <c r="I3" s="82">
        <v>5</v>
      </c>
      <c r="J3" s="82">
        <v>6</v>
      </c>
      <c r="K3" s="82">
        <v>7</v>
      </c>
      <c r="L3" s="82">
        <v>8</v>
      </c>
      <c r="M3" s="82">
        <v>9</v>
      </c>
      <c r="N3" s="82">
        <v>10</v>
      </c>
      <c r="O3" s="82">
        <v>11</v>
      </c>
      <c r="P3" s="82">
        <v>12</v>
      </c>
      <c r="Q3" s="82">
        <v>13</v>
      </c>
      <c r="R3" s="82">
        <v>14</v>
      </c>
      <c r="S3" s="82">
        <v>15</v>
      </c>
      <c r="T3" s="82">
        <v>16</v>
      </c>
      <c r="U3" s="82">
        <v>17</v>
      </c>
      <c r="V3" s="82">
        <v>18</v>
      </c>
      <c r="W3" s="82">
        <v>19</v>
      </c>
      <c r="X3" s="82">
        <v>20</v>
      </c>
      <c r="Y3" s="82">
        <v>21</v>
      </c>
      <c r="Z3" s="82">
        <v>22</v>
      </c>
      <c r="AA3" s="82">
        <v>23</v>
      </c>
      <c r="AB3" s="82">
        <v>24</v>
      </c>
      <c r="AC3" s="83">
        <v>25</v>
      </c>
    </row>
    <row r="4" spans="2:29" x14ac:dyDescent="0.25">
      <c r="B4" s="74" t="s">
        <v>54</v>
      </c>
      <c r="C4" s="112" t="s">
        <v>0</v>
      </c>
      <c r="D4" s="112"/>
      <c r="E4" s="260">
        <f>'C - O&amp;M'!D6</f>
        <v>9040</v>
      </c>
      <c r="F4" s="260">
        <f>'C - O&amp;M'!E6</f>
        <v>9610</v>
      </c>
      <c r="G4" s="260">
        <f>'C - O&amp;M'!F6</f>
        <v>10215</v>
      </c>
      <c r="H4" s="260">
        <f>'C - O&amp;M'!G6</f>
        <v>10857.990318640521</v>
      </c>
      <c r="I4" s="260">
        <f>'C - O&amp;M'!H6</f>
        <v>11541.454112549318</v>
      </c>
      <c r="J4" s="260">
        <f>'C - O&amp;M'!I6</f>
        <v>12267.939012931407</v>
      </c>
      <c r="K4" s="260">
        <f>'C - O&amp;M'!J6</f>
        <v>13040.153013419635</v>
      </c>
      <c r="L4" s="260">
        <f>'C - O&amp;M'!K6</f>
        <v>13860.974564199845</v>
      </c>
      <c r="M4" s="260">
        <f>'C - O&amp;M'!L6</f>
        <v>14733.463301517811</v>
      </c>
      <c r="N4" s="260">
        <f>'C - O&amp;M'!M6</f>
        <v>15660.871452562487</v>
      </c>
      <c r="O4" s="260">
        <f>'C - O&amp;M'!N6</f>
        <v>16646.65595823761</v>
      </c>
      <c r="P4" s="260">
        <f>'C - O&amp;M'!O6</f>
        <v>17694.491359009644</v>
      </c>
      <c r="Q4" s="260">
        <f>'C - O&amp;M'!P6</f>
        <v>18808.283491864422</v>
      </c>
      <c r="R4" s="260">
        <f>'C - O&amp;M'!Q6</f>
        <v>19992.184049428313</v>
      </c>
      <c r="S4" s="260">
        <f>'C - O&amp;M'!R6</f>
        <v>21250.606055523454</v>
      </c>
      <c r="T4" s="260">
        <f>'C - O&amp;M'!S6</f>
        <v>22588.240314842613</v>
      </c>
      <c r="U4" s="260">
        <f>'C - O&amp;M'!T6</f>
        <v>24010.072898060364</v>
      </c>
      <c r="V4" s="260">
        <f>'C - O&amp;M'!U6</f>
        <v>25521.403727556786</v>
      </c>
      <c r="W4" s="260">
        <f>'C - O&amp;M'!V6</f>
        <v>27127.866333032569</v>
      </c>
      <c r="X4" s="260">
        <f>'C - O&amp;M'!W6</f>
        <v>28835.448850655092</v>
      </c>
      <c r="Y4" s="260">
        <f>'C - O&amp;M'!X6</f>
        <v>30650.516344010466</v>
      </c>
      <c r="Z4" s="260">
        <f>'C - O&amp;M'!Y6</f>
        <v>32579.834530063505</v>
      </c>
      <c r="AA4" s="260">
        <f>'C - O&amp;M'!Z6</f>
        <v>34630.594998564826</v>
      </c>
      <c r="AB4" s="260">
        <f>'C - O&amp;M'!AA6</f>
        <v>36810.442018911184</v>
      </c>
      <c r="AC4" s="261">
        <f>'C - O&amp;M'!AB6</f>
        <v>39127.501034382367</v>
      </c>
    </row>
    <row r="5" spans="2:29" x14ac:dyDescent="0.25">
      <c r="B5" s="66" t="s">
        <v>80</v>
      </c>
      <c r="C5" s="10" t="s">
        <v>0</v>
      </c>
      <c r="D5" s="10"/>
      <c r="E5" s="108">
        <f>'C - RoE'!D8</f>
        <v>18714.610999989374</v>
      </c>
      <c r="F5" s="108">
        <f>'C - RoE'!E8</f>
        <v>18714.610999989374</v>
      </c>
      <c r="G5" s="108">
        <f>'C - RoE'!F8</f>
        <v>18714.610999989374</v>
      </c>
      <c r="H5" s="108">
        <f>'C - RoE'!G8</f>
        <v>18714.610999989374</v>
      </c>
      <c r="I5" s="108">
        <f>'C - RoE'!H8</f>
        <v>18714.610999989374</v>
      </c>
      <c r="J5" s="108">
        <f>'C - RoE'!I8</f>
        <v>18714.610999989374</v>
      </c>
      <c r="K5" s="108">
        <f>'C - RoE'!J8</f>
        <v>18714.610999989374</v>
      </c>
      <c r="L5" s="108">
        <f>'C - RoE'!K8</f>
        <v>18714.610999989374</v>
      </c>
      <c r="M5" s="108">
        <f>'C - RoE'!L8</f>
        <v>18714.610999989374</v>
      </c>
      <c r="N5" s="108">
        <f>'C - RoE'!M8</f>
        <v>18714.610999989374</v>
      </c>
      <c r="O5" s="108">
        <f>'C - RoE'!N8</f>
        <v>18714.610999989374</v>
      </c>
      <c r="P5" s="108">
        <f>'C - RoE'!O8</f>
        <v>18714.610999989374</v>
      </c>
      <c r="Q5" s="108">
        <f>'C - RoE'!P8</f>
        <v>18714.610999989374</v>
      </c>
      <c r="R5" s="108">
        <f>'C - RoE'!Q8</f>
        <v>18714.610999989374</v>
      </c>
      <c r="S5" s="108">
        <f>'C - RoE'!R8</f>
        <v>18714.610999989374</v>
      </c>
      <c r="T5" s="108">
        <f>'C - RoE'!S8</f>
        <v>18714.610999989374</v>
      </c>
      <c r="U5" s="108">
        <f>'C - RoE'!T8</f>
        <v>18714.610999989374</v>
      </c>
      <c r="V5" s="108">
        <f>'C - RoE'!U8</f>
        <v>18714.610999989374</v>
      </c>
      <c r="W5" s="108">
        <f>'C - RoE'!V8</f>
        <v>18714.610999989374</v>
      </c>
      <c r="X5" s="108">
        <f>'C - RoE'!W8</f>
        <v>18714.610999989374</v>
      </c>
      <c r="Y5" s="108">
        <f>'C - RoE'!X8</f>
        <v>18714.610999989374</v>
      </c>
      <c r="Z5" s="108">
        <f>'C - RoE'!Y8</f>
        <v>18714.610999989374</v>
      </c>
      <c r="AA5" s="108">
        <f>'C - RoE'!Z8</f>
        <v>18714.610999989374</v>
      </c>
      <c r="AB5" s="108">
        <f>'C - RoE'!AA8</f>
        <v>18714.610999989374</v>
      </c>
      <c r="AC5" s="19">
        <f>'C - RoE'!AB8</f>
        <v>18714.610999989374</v>
      </c>
    </row>
    <row r="6" spans="2:29" x14ac:dyDescent="0.25">
      <c r="B6" s="66" t="s">
        <v>75</v>
      </c>
      <c r="C6" s="10" t="s">
        <v>0</v>
      </c>
      <c r="D6" s="10"/>
      <c r="E6" s="108">
        <f>'C - Depreciation'!D6</f>
        <v>16714.934288938126</v>
      </c>
      <c r="F6" s="108">
        <f>'C - Depreciation'!E6</f>
        <v>16714.934288938126</v>
      </c>
      <c r="G6" s="108">
        <f>'C - Depreciation'!F6</f>
        <v>16714.934288938126</v>
      </c>
      <c r="H6" s="108">
        <f>'C - Depreciation'!G6</f>
        <v>16714.934288938126</v>
      </c>
      <c r="I6" s="108">
        <f>'C - Depreciation'!H6</f>
        <v>16714.934288938126</v>
      </c>
      <c r="J6" s="108">
        <f>'C - Depreciation'!I6</f>
        <v>16714.934288938126</v>
      </c>
      <c r="K6" s="108">
        <f>'C - Depreciation'!J6</f>
        <v>16714.934288938126</v>
      </c>
      <c r="L6" s="108">
        <f>'C - Depreciation'!K6</f>
        <v>16714.934288938126</v>
      </c>
      <c r="M6" s="108">
        <f>'C - Depreciation'!L6</f>
        <v>16714.934288938126</v>
      </c>
      <c r="N6" s="108">
        <f>'C - Depreciation'!M6</f>
        <v>16714.934288938126</v>
      </c>
      <c r="O6" s="108">
        <f>'C - Depreciation'!N6</f>
        <v>16714.934288938126</v>
      </c>
      <c r="P6" s="108">
        <f>'C - Depreciation'!O6</f>
        <v>16714.934288938126</v>
      </c>
      <c r="Q6" s="108">
        <f>'C - Depreciation'!P6</f>
        <v>6489.6998659702958</v>
      </c>
      <c r="R6" s="108">
        <f>'C - Depreciation'!Q6</f>
        <v>6489.6998659702958</v>
      </c>
      <c r="S6" s="108">
        <f>'C - Depreciation'!R6</f>
        <v>6489.6998659702958</v>
      </c>
      <c r="T6" s="108">
        <f>'C - Depreciation'!S6</f>
        <v>6489.6998659702958</v>
      </c>
      <c r="U6" s="108">
        <f>'C - Depreciation'!T6</f>
        <v>6489.6998659702958</v>
      </c>
      <c r="V6" s="108">
        <f>'C - Depreciation'!U6</f>
        <v>6489.6998659702958</v>
      </c>
      <c r="W6" s="108">
        <f>'C - Depreciation'!V6</f>
        <v>6489.6998659702958</v>
      </c>
      <c r="X6" s="108">
        <f>'C - Depreciation'!W6</f>
        <v>6489.6998659702958</v>
      </c>
      <c r="Y6" s="108">
        <f>'C - Depreciation'!X6</f>
        <v>6489.6998659702958</v>
      </c>
      <c r="Z6" s="108">
        <f>'C - Depreciation'!Y6</f>
        <v>6489.6998659702958</v>
      </c>
      <c r="AA6" s="108">
        <f>'C - Depreciation'!Z6</f>
        <v>6489.6998659702958</v>
      </c>
      <c r="AB6" s="108">
        <f>'C - Depreciation'!AA6</f>
        <v>6489.6998659702958</v>
      </c>
      <c r="AC6" s="19">
        <f>'C - Depreciation'!AB6</f>
        <v>6489.6998659702958</v>
      </c>
    </row>
    <row r="7" spans="2:29" x14ac:dyDescent="0.25">
      <c r="B7" s="66" t="s">
        <v>76</v>
      </c>
      <c r="C7" s="10" t="s">
        <v>0</v>
      </c>
      <c r="D7" s="10"/>
      <c r="E7" s="108">
        <f>'C - Interest on Loan'!D7</f>
        <v>26591.940914219744</v>
      </c>
      <c r="F7" s="108">
        <f>'C - Interest on Loan'!E7</f>
        <v>21395.115889840803</v>
      </c>
      <c r="G7" s="108">
        <f>'C - Interest on Loan'!F7</f>
        <v>16821.909868387331</v>
      </c>
      <c r="H7" s="108">
        <f>'C - Interest on Loan'!G7</f>
        <v>12797.488569508278</v>
      </c>
      <c r="I7" s="108">
        <f>'C - Interest on Loan'!H7</f>
        <v>9255.9978264947113</v>
      </c>
      <c r="J7" s="108">
        <f>'C - Interest on Loan'!I7</f>
        <v>6139.4859726427703</v>
      </c>
      <c r="K7" s="108">
        <f>'C - Interest on Loan'!J7</f>
        <v>3396.9555412530631</v>
      </c>
      <c r="L7" s="108">
        <f>'C - Interest on Loan'!K7</f>
        <v>983.52876163012058</v>
      </c>
      <c r="M7" s="108">
        <f>'C - Interest on Loan'!L7</f>
        <v>0</v>
      </c>
      <c r="N7" s="108">
        <f>'C - Interest on Loan'!M7</f>
        <v>0</v>
      </c>
      <c r="O7" s="108">
        <f>'C - Interest on Loan'!N7</f>
        <v>0</v>
      </c>
      <c r="P7" s="108">
        <f>'C - Interest on Loan'!O7</f>
        <v>0</v>
      </c>
      <c r="Q7" s="108">
        <f>'C - Interest on Loan'!P7</f>
        <v>0</v>
      </c>
      <c r="R7" s="108">
        <f>'C - Interest on Loan'!Q7</f>
        <v>0</v>
      </c>
      <c r="S7" s="108">
        <f>'C - Interest on Loan'!R7</f>
        <v>0</v>
      </c>
      <c r="T7" s="108">
        <f>'C - Interest on Loan'!S7</f>
        <v>0</v>
      </c>
      <c r="U7" s="108">
        <f>'C - Interest on Loan'!T7</f>
        <v>0</v>
      </c>
      <c r="V7" s="108">
        <f>'C - Interest on Loan'!U7</f>
        <v>0</v>
      </c>
      <c r="W7" s="108">
        <f>'C - Interest on Loan'!V7</f>
        <v>0</v>
      </c>
      <c r="X7" s="108">
        <f>'C - Interest on Loan'!W7</f>
        <v>0</v>
      </c>
      <c r="Y7" s="108">
        <f>'C - Interest on Loan'!X7</f>
        <v>0</v>
      </c>
      <c r="Z7" s="108">
        <f>'C - Interest on Loan'!Y7</f>
        <v>0</v>
      </c>
      <c r="AA7" s="108">
        <f>'C - Interest on Loan'!Z7</f>
        <v>0</v>
      </c>
      <c r="AB7" s="108">
        <f>'C - Interest on Loan'!AA7</f>
        <v>0</v>
      </c>
      <c r="AC7" s="19">
        <f>'C - Interest on Loan'!AB7</f>
        <v>0</v>
      </c>
    </row>
    <row r="8" spans="2:29" x14ac:dyDescent="0.25">
      <c r="B8" s="66" t="s">
        <v>81</v>
      </c>
      <c r="C8" s="10" t="s">
        <v>0</v>
      </c>
      <c r="D8" s="108"/>
      <c r="E8" s="108">
        <f ca="1">'C - Interest on WC'!D11</f>
        <v>4360.4045815530626</v>
      </c>
      <c r="F8" s="108">
        <f ca="1">'C - Interest on WC'!E11</f>
        <v>4280.6699761170094</v>
      </c>
      <c r="G8" s="108">
        <f ca="1">'C - Interest on WC'!F11</f>
        <v>4216.5891909082138</v>
      </c>
      <c r="H8" s="108">
        <f ca="1">'C - Interest on WC'!G11</f>
        <v>4166.7069579153058</v>
      </c>
      <c r="I8" s="108">
        <f ca="1">'C - Interest on WC'!H11</f>
        <v>4129.7339116055564</v>
      </c>
      <c r="J8" s="108">
        <f ca="1">'C - Interest on WC'!I11</f>
        <v>4104.5567427157393</v>
      </c>
      <c r="K8" s="108">
        <f ca="1">'C - Interest on WC'!J11</f>
        <v>4090.2231703981056</v>
      </c>
      <c r="L8" s="108">
        <f ca="1">'C - Interest on WC'!K11</f>
        <v>4085.9243454931166</v>
      </c>
      <c r="M8" s="108">
        <f ca="1">'C - Interest on WC'!L11</f>
        <v>4115.8358622043615</v>
      </c>
      <c r="N8" s="108">
        <f ca="1">'C - Interest on WC'!M11</f>
        <v>4170.419012238599</v>
      </c>
      <c r="O8" s="108">
        <f ca="1">'C - Interest on WC'!N11</f>
        <v>4228.4379368232931</v>
      </c>
      <c r="P8" s="108">
        <f ca="1">'C - Interest on WC'!O11</f>
        <v>4290.1089031902575</v>
      </c>
      <c r="Q8" s="108">
        <f ca="1">'C - Interest on WC'!P11</f>
        <v>4132.7683982472618</v>
      </c>
      <c r="R8" s="108">
        <f ca="1">'C - Interest on WC'!Q11</f>
        <v>4202.4475591284054</v>
      </c>
      <c r="S8" s="108">
        <f ca="1">'C - Interest on WC'!R11</f>
        <v>4276.512723519837</v>
      </c>
      <c r="T8" s="108">
        <f ca="1">'C - Interest on WC'!S11</f>
        <v>4355.2399714797648</v>
      </c>
      <c r="U8" s="108">
        <f ca="1">'C - Interest on WC'!T11</f>
        <v>4438.9227611187398</v>
      </c>
      <c r="V8" s="108">
        <f ca="1">'C - Interest on WC'!U11</f>
        <v>4527.8730224732972</v>
      </c>
      <c r="W8" s="108">
        <f ca="1">'C - Interest on WC'!V11</f>
        <v>4622.42232023427</v>
      </c>
      <c r="X8" s="108">
        <f ca="1">'C - Interest on WC'!W11</f>
        <v>4722.9230896638246</v>
      </c>
      <c r="Y8" s="108">
        <f ca="1">'C - Interest on WC'!X11</f>
        <v>4829.7499503081726</v>
      </c>
      <c r="Z8" s="108">
        <f ca="1">'C - Interest on WC'!Y11</f>
        <v>4943.3011024028474</v>
      </c>
      <c r="AA8" s="108">
        <f ca="1">'C - Interest on WC'!Z11</f>
        <v>5063.9998111756777</v>
      </c>
      <c r="AB8" s="108">
        <f ca="1">'C - Interest on WC'!AA11</f>
        <v>5192.2959845802588</v>
      </c>
      <c r="AC8" s="19">
        <f ca="1">'C - Interest on WC'!AB11</f>
        <v>5328.6678503409603</v>
      </c>
    </row>
    <row r="9" spans="2:29" ht="15.75" thickBot="1" x14ac:dyDescent="0.3">
      <c r="B9" s="141" t="s">
        <v>82</v>
      </c>
      <c r="C9" s="110" t="s">
        <v>0</v>
      </c>
      <c r="D9" s="110"/>
      <c r="E9" s="258">
        <f ca="1">SUM(E4:E8)</f>
        <v>75421.890784700314</v>
      </c>
      <c r="F9" s="258">
        <f t="shared" ref="F9:AC9" ca="1" si="0">SUM(F4:F8)</f>
        <v>70715.331154885323</v>
      </c>
      <c r="G9" s="258">
        <f t="shared" ca="1" si="0"/>
        <v>66683.044348223048</v>
      </c>
      <c r="H9" s="258">
        <f t="shared" ca="1" si="0"/>
        <v>63251.731134991598</v>
      </c>
      <c r="I9" s="258">
        <f t="shared" ca="1" si="0"/>
        <v>60356.731139577088</v>
      </c>
      <c r="J9" s="258">
        <f t="shared" ca="1" si="0"/>
        <v>57941.527017217406</v>
      </c>
      <c r="K9" s="258">
        <f t="shared" ca="1" si="0"/>
        <v>55956.87701399831</v>
      </c>
      <c r="L9" s="258">
        <f t="shared" ca="1" si="0"/>
        <v>54359.972960250583</v>
      </c>
      <c r="M9" s="258">
        <f t="shared" ca="1" si="0"/>
        <v>54278.844452649675</v>
      </c>
      <c r="N9" s="258">
        <f t="shared" ca="1" si="0"/>
        <v>55260.835753728585</v>
      </c>
      <c r="O9" s="258">
        <f t="shared" ca="1" si="0"/>
        <v>56304.639183988402</v>
      </c>
      <c r="P9" s="258">
        <f t="shared" ca="1" si="0"/>
        <v>57414.145551127403</v>
      </c>
      <c r="Q9" s="258">
        <f t="shared" ca="1" si="0"/>
        <v>48145.36275607135</v>
      </c>
      <c r="R9" s="258">
        <f t="shared" ca="1" si="0"/>
        <v>49398.942474516392</v>
      </c>
      <c r="S9" s="258">
        <f t="shared" ca="1" si="0"/>
        <v>50731.429645002958</v>
      </c>
      <c r="T9" s="258">
        <f t="shared" ca="1" si="0"/>
        <v>52147.79115228205</v>
      </c>
      <c r="U9" s="258">
        <f t="shared" ca="1" si="0"/>
        <v>53653.306525138774</v>
      </c>
      <c r="V9" s="258">
        <f t="shared" ca="1" si="0"/>
        <v>55253.58761598976</v>
      </c>
      <c r="W9" s="258">
        <f t="shared" ca="1" si="0"/>
        <v>56954.599519226511</v>
      </c>
      <c r="X9" s="258">
        <f t="shared" ca="1" si="0"/>
        <v>58762.682806278586</v>
      </c>
      <c r="Y9" s="258">
        <f t="shared" ca="1" si="0"/>
        <v>60684.577160278306</v>
      </c>
      <c r="Z9" s="258">
        <f t="shared" ca="1" si="0"/>
        <v>62727.446498426019</v>
      </c>
      <c r="AA9" s="258">
        <f t="shared" ca="1" si="0"/>
        <v>64898.905675700174</v>
      </c>
      <c r="AB9" s="258">
        <f t="shared" ca="1" si="0"/>
        <v>67207.048869451115</v>
      </c>
      <c r="AC9" s="259">
        <f t="shared" ca="1" si="0"/>
        <v>69660.479750682993</v>
      </c>
    </row>
    <row r="10" spans="2:29" ht="15.75" thickBot="1" x14ac:dyDescent="0.3"/>
    <row r="11" spans="2:29" x14ac:dyDescent="0.25">
      <c r="B11" s="198" t="s">
        <v>84</v>
      </c>
      <c r="C11" s="263">
        <f>'C - Assumptions'!E16</f>
        <v>9.8453944000000002E-2</v>
      </c>
      <c r="D11" s="26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52"/>
    </row>
    <row r="12" spans="2:29" ht="15.75" thickBot="1" x14ac:dyDescent="0.3">
      <c r="B12" s="141" t="s">
        <v>83</v>
      </c>
      <c r="C12" s="110"/>
      <c r="D12" s="110"/>
      <c r="E12" s="110">
        <f>1/(1+C11)^0</f>
        <v>1</v>
      </c>
      <c r="F12" s="264">
        <f t="shared" ref="F12:AC12" si="1">1/(1+$C$11)^E3</f>
        <v>0.91037043970957776</v>
      </c>
      <c r="G12" s="264">
        <f t="shared" si="1"/>
        <v>0.82877433749700991</v>
      </c>
      <c r="H12" s="264">
        <f t="shared" si="1"/>
        <v>0.754491658047167</v>
      </c>
      <c r="I12" s="264">
        <f t="shared" si="1"/>
        <v>0.68686690249360771</v>
      </c>
      <c r="J12" s="264">
        <f t="shared" si="1"/>
        <v>0.62530332404506139</v>
      </c>
      <c r="K12" s="264">
        <f t="shared" si="1"/>
        <v>0.56925766206276307</v>
      </c>
      <c r="L12" s="264">
        <f t="shared" si="1"/>
        <v>0.51823534812012384</v>
      </c>
      <c r="M12" s="264">
        <f t="shared" si="1"/>
        <v>0.47178614174116323</v>
      </c>
      <c r="N12" s="264">
        <f t="shared" si="1"/>
        <v>0.429500157305788</v>
      </c>
      <c r="O12" s="264">
        <f t="shared" si="1"/>
        <v>0.39100424706180303</v>
      </c>
      <c r="P12" s="264">
        <f t="shared" si="1"/>
        <v>0.35595870832596599</v>
      </c>
      <c r="Q12" s="264">
        <f t="shared" si="1"/>
        <v>0.324054285817163</v>
      </c>
      <c r="R12" s="264">
        <f t="shared" si="1"/>
        <v>0.29500944266914386</v>
      </c>
      <c r="S12" s="264">
        <f t="shared" si="1"/>
        <v>0.26856787604118593</v>
      </c>
      <c r="T12" s="264">
        <f t="shared" si="1"/>
        <v>0.24449625540348183</v>
      </c>
      <c r="U12" s="264">
        <f t="shared" si="1"/>
        <v>0.222582163539013</v>
      </c>
      <c r="V12" s="264">
        <f t="shared" si="1"/>
        <v>0.20263222209252044</v>
      </c>
      <c r="W12" s="264">
        <f t="shared" si="1"/>
        <v>0.18447038512569661</v>
      </c>
      <c r="X12" s="264">
        <f t="shared" si="1"/>
        <v>0.16793638562027557</v>
      </c>
      <c r="Y12" s="264">
        <f t="shared" si="1"/>
        <v>0.15288432122036749</v>
      </c>
      <c r="Z12" s="264">
        <f t="shared" si="1"/>
        <v>0.13918136673408629</v>
      </c>
      <c r="AA12" s="264">
        <f t="shared" si="1"/>
        <v>0.12670660203309012</v>
      </c>
      <c r="AB12" s="264">
        <f t="shared" si="1"/>
        <v>0.11534994500697074</v>
      </c>
      <c r="AC12" s="265">
        <f t="shared" si="1"/>
        <v>0.10501118015647155</v>
      </c>
    </row>
    <row r="13" spans="2:29" ht="15.75" thickBot="1" x14ac:dyDescent="0.3"/>
    <row r="14" spans="2:29" x14ac:dyDescent="0.25">
      <c r="B14" s="198" t="s">
        <v>85</v>
      </c>
      <c r="C14" s="143" t="s">
        <v>0</v>
      </c>
      <c r="D14" s="143"/>
      <c r="E14" s="266">
        <f>E4*E$12</f>
        <v>9040</v>
      </c>
      <c r="F14" s="266">
        <f t="shared" ref="F14:AC14" si="2">F4*F$12</f>
        <v>8748.6599256090431</v>
      </c>
      <c r="G14" s="266">
        <f t="shared" si="2"/>
        <v>8465.9298575319553</v>
      </c>
      <c r="H14" s="266">
        <f t="shared" si="2"/>
        <v>8192.2631185711743</v>
      </c>
      <c r="I14" s="266">
        <f t="shared" si="2"/>
        <v>7927.4428365588601</v>
      </c>
      <c r="J14" s="266">
        <f t="shared" si="2"/>
        <v>7671.183043968098</v>
      </c>
      <c r="K14" s="266">
        <f t="shared" si="2"/>
        <v>7423.2070173599559</v>
      </c>
      <c r="L14" s="266">
        <f t="shared" si="2"/>
        <v>7183.2469785622889</v>
      </c>
      <c r="M14" s="266">
        <f t="shared" si="2"/>
        <v>6951.0438055081095</v>
      </c>
      <c r="N14" s="266">
        <f t="shared" si="2"/>
        <v>6726.3467524213129</v>
      </c>
      <c r="O14" s="266">
        <f t="shared" si="2"/>
        <v>6508.913179047574</v>
      </c>
      <c r="P14" s="266">
        <f t="shared" si="2"/>
        <v>6298.5082886380396</v>
      </c>
      <c r="Q14" s="266">
        <f t="shared" si="2"/>
        <v>6094.9048744028623</v>
      </c>
      <c r="R14" s="266">
        <f t="shared" si="2"/>
        <v>5897.8830741607944</v>
      </c>
      <c r="S14" s="266">
        <f t="shared" si="2"/>
        <v>5707.2301329198981</v>
      </c>
      <c r="T14" s="266">
        <f t="shared" si="2"/>
        <v>5522.7401731329846</v>
      </c>
      <c r="U14" s="266">
        <f t="shared" si="2"/>
        <v>5344.2139723796954</v>
      </c>
      <c r="V14" s="266">
        <f t="shared" si="2"/>
        <v>5171.4587482351653</v>
      </c>
      <c r="W14" s="266">
        <f t="shared" si="2"/>
        <v>5004.2879500929366</v>
      </c>
      <c r="X14" s="266">
        <f t="shared" si="2"/>
        <v>4842.5210577173457</v>
      </c>
      <c r="Y14" s="266">
        <f t="shared" si="2"/>
        <v>4685.9833863078202</v>
      </c>
      <c r="Z14" s="266">
        <f t="shared" si="2"/>
        <v>4534.5058978646166</v>
      </c>
      <c r="AA14" s="266">
        <f t="shared" si="2"/>
        <v>4387.925018652274</v>
      </c>
      <c r="AB14" s="266">
        <f t="shared" si="2"/>
        <v>4246.0824625636897</v>
      </c>
      <c r="AC14" s="15">
        <f t="shared" si="2"/>
        <v>4108.8250601940535</v>
      </c>
    </row>
    <row r="15" spans="2:29" x14ac:dyDescent="0.25">
      <c r="B15" s="66" t="s">
        <v>86</v>
      </c>
      <c r="C15" s="10" t="s">
        <v>0</v>
      </c>
      <c r="D15" s="10"/>
      <c r="E15" s="108">
        <f t="shared" ref="E15:AC18" si="3">E5*E$12</f>
        <v>18714.610999989374</v>
      </c>
      <c r="F15" s="108">
        <f t="shared" si="3"/>
        <v>17037.228645054027</v>
      </c>
      <c r="G15" s="108">
        <f t="shared" si="3"/>
        <v>15510.189333030448</v>
      </c>
      <c r="H15" s="108">
        <f t="shared" si="3"/>
        <v>14120.017883089733</v>
      </c>
      <c r="I15" s="108">
        <f t="shared" si="3"/>
        <v>12854.446888935499</v>
      </c>
      <c r="J15" s="108">
        <f t="shared" si="3"/>
        <v>11702.308466503626</v>
      </c>
      <c r="K15" s="108">
        <f t="shared" si="3"/>
        <v>10653.43570426802</v>
      </c>
      <c r="L15" s="108">
        <f t="shared" si="3"/>
        <v>9698.5729465121931</v>
      </c>
      <c r="M15" s="108">
        <f t="shared" si="3"/>
        <v>8829.2941178717192</v>
      </c>
      <c r="N15" s="108">
        <f t="shared" si="3"/>
        <v>8037.9283684120664</v>
      </c>
      <c r="O15" s="108">
        <f t="shared" si="3"/>
        <v>7317.492383105382</v>
      </c>
      <c r="P15" s="108">
        <f t="shared" si="3"/>
        <v>6661.6287583791327</v>
      </c>
      <c r="Q15" s="108">
        <f t="shared" si="3"/>
        <v>6064.5499019475792</v>
      </c>
      <c r="R15" s="108">
        <f t="shared" si="3"/>
        <v>5520.986960876694</v>
      </c>
      <c r="S15" s="108">
        <f t="shared" si="3"/>
        <v>5026.1433272041604</v>
      </c>
      <c r="T15" s="108">
        <f t="shared" si="3"/>
        <v>4575.6523108302126</v>
      </c>
      <c r="U15" s="108">
        <f t="shared" si="3"/>
        <v>4165.5386061686468</v>
      </c>
      <c r="V15" s="108">
        <f t="shared" si="3"/>
        <v>3792.183212524973</v>
      </c>
      <c r="W15" s="108">
        <f t="shared" si="3"/>
        <v>3452.2914986456381</v>
      </c>
      <c r="X15" s="108">
        <f t="shared" si="3"/>
        <v>3142.8641296276664</v>
      </c>
      <c r="Y15" s="108">
        <f t="shared" si="3"/>
        <v>2861.1705996365986</v>
      </c>
      <c r="Z15" s="108">
        <f t="shared" si="3"/>
        <v>2604.7251368752864</v>
      </c>
      <c r="AA15" s="108">
        <f t="shared" si="3"/>
        <v>2371.2647681797444</v>
      </c>
      <c r="AB15" s="108">
        <f t="shared" si="3"/>
        <v>2158.7293496756238</v>
      </c>
      <c r="AC15" s="19">
        <f t="shared" si="3"/>
        <v>1965.2433872781685</v>
      </c>
    </row>
    <row r="16" spans="2:29" x14ac:dyDescent="0.25">
      <c r="B16" s="66" t="s">
        <v>87</v>
      </c>
      <c r="C16" s="10" t="s">
        <v>0</v>
      </c>
      <c r="D16" s="10"/>
      <c r="E16" s="108">
        <f t="shared" si="3"/>
        <v>16714.934288938126</v>
      </c>
      <c r="F16" s="108">
        <f t="shared" si="3"/>
        <v>15216.782078337301</v>
      </c>
      <c r="G16" s="108">
        <f t="shared" si="3"/>
        <v>13852.90859162075</v>
      </c>
      <c r="H16" s="108">
        <f t="shared" si="3"/>
        <v>12611.278485810371</v>
      </c>
      <c r="I16" s="108">
        <f t="shared" si="3"/>
        <v>11480.935140427124</v>
      </c>
      <c r="J16" s="108">
        <f t="shared" si="3"/>
        <v>10451.903972067785</v>
      </c>
      <c r="K16" s="108">
        <f t="shared" si="3"/>
        <v>9515.1044148536312</v>
      </c>
      <c r="L16" s="108">
        <f t="shared" si="3"/>
        <v>8662.269790032844</v>
      </c>
      <c r="M16" s="108">
        <f t="shared" si="3"/>
        <v>7885.8743576351926</v>
      </c>
      <c r="N16" s="108">
        <f t="shared" si="3"/>
        <v>7179.0669064548347</v>
      </c>
      <c r="O16" s="108">
        <f t="shared" si="3"/>
        <v>6535.6102963337662</v>
      </c>
      <c r="P16" s="108">
        <f t="shared" si="3"/>
        <v>5949.8264192438137</v>
      </c>
      <c r="Q16" s="108">
        <f t="shared" si="3"/>
        <v>2103.0150552347427</v>
      </c>
      <c r="R16" s="108">
        <f t="shared" si="3"/>
        <v>1914.5227405499145</v>
      </c>
      <c r="S16" s="108">
        <f t="shared" si="3"/>
        <v>1742.9249091484114</v>
      </c>
      <c r="T16" s="108">
        <f t="shared" si="3"/>
        <v>1586.7073159222152</v>
      </c>
      <c r="U16" s="108">
        <f t="shared" si="3"/>
        <v>1444.4914368865111</v>
      </c>
      <c r="V16" s="108">
        <f t="shared" si="3"/>
        <v>1315.0223045550931</v>
      </c>
      <c r="W16" s="108">
        <f t="shared" si="3"/>
        <v>1197.1574336257222</v>
      </c>
      <c r="X16" s="108">
        <f t="shared" si="3"/>
        <v>1089.8567392514383</v>
      </c>
      <c r="Y16" s="108">
        <f t="shared" si="3"/>
        <v>992.17335893277857</v>
      </c>
      <c r="Z16" s="108">
        <f t="shared" si="3"/>
        <v>903.24529703976236</v>
      </c>
      <c r="AA16" s="108">
        <f t="shared" si="3"/>
        <v>822.28781823169652</v>
      </c>
      <c r="AB16" s="108">
        <f t="shared" si="3"/>
        <v>748.58652265141905</v>
      </c>
      <c r="AC16" s="19">
        <f t="shared" si="3"/>
        <v>681.49104178683604</v>
      </c>
    </row>
    <row r="17" spans="2:29" x14ac:dyDescent="0.25">
      <c r="B17" s="66" t="s">
        <v>88</v>
      </c>
      <c r="C17" s="10" t="s">
        <v>0</v>
      </c>
      <c r="D17" s="10"/>
      <c r="E17" s="108">
        <f t="shared" si="3"/>
        <v>26591.940914219744</v>
      </c>
      <c r="F17" s="108">
        <f t="shared" si="3"/>
        <v>19477.481060271744</v>
      </c>
      <c r="G17" s="108">
        <f t="shared" si="3"/>
        <v>13941.567206607124</v>
      </c>
      <c r="H17" s="108">
        <f t="shared" si="3"/>
        <v>9655.598369647967</v>
      </c>
      <c r="I17" s="108">
        <f t="shared" si="3"/>
        <v>6357.6385565719875</v>
      </c>
      <c r="J17" s="108">
        <f t="shared" si="3"/>
        <v>3839.0409866215509</v>
      </c>
      <c r="K17" s="108">
        <f t="shared" si="3"/>
        <v>1933.7429695448666</v>
      </c>
      <c r="L17" s="108">
        <f t="shared" si="3"/>
        <v>509.69937016953986</v>
      </c>
      <c r="M17" s="108">
        <f t="shared" si="3"/>
        <v>0</v>
      </c>
      <c r="N17" s="108">
        <f t="shared" si="3"/>
        <v>0</v>
      </c>
      <c r="O17" s="108">
        <f t="shared" si="3"/>
        <v>0</v>
      </c>
      <c r="P17" s="108">
        <f t="shared" si="3"/>
        <v>0</v>
      </c>
      <c r="Q17" s="108">
        <f t="shared" si="3"/>
        <v>0</v>
      </c>
      <c r="R17" s="108">
        <f t="shared" si="3"/>
        <v>0</v>
      </c>
      <c r="S17" s="108">
        <f t="shared" si="3"/>
        <v>0</v>
      </c>
      <c r="T17" s="108">
        <f t="shared" si="3"/>
        <v>0</v>
      </c>
      <c r="U17" s="108">
        <f t="shared" si="3"/>
        <v>0</v>
      </c>
      <c r="V17" s="108">
        <f t="shared" si="3"/>
        <v>0</v>
      </c>
      <c r="W17" s="108">
        <f t="shared" si="3"/>
        <v>0</v>
      </c>
      <c r="X17" s="108">
        <f t="shared" si="3"/>
        <v>0</v>
      </c>
      <c r="Y17" s="108">
        <f t="shared" si="3"/>
        <v>0</v>
      </c>
      <c r="Z17" s="108">
        <f t="shared" si="3"/>
        <v>0</v>
      </c>
      <c r="AA17" s="108">
        <f t="shared" si="3"/>
        <v>0</v>
      </c>
      <c r="AB17" s="108">
        <f t="shared" si="3"/>
        <v>0</v>
      </c>
      <c r="AC17" s="19">
        <f t="shared" si="3"/>
        <v>0</v>
      </c>
    </row>
    <row r="18" spans="2:29" ht="15.75" thickBot="1" x14ac:dyDescent="0.3">
      <c r="B18" s="141" t="s">
        <v>89</v>
      </c>
      <c r="C18" s="110" t="s">
        <v>0</v>
      </c>
      <c r="D18" s="258"/>
      <c r="E18" s="258">
        <f t="shared" ca="1" si="3"/>
        <v>4360.4045815530626</v>
      </c>
      <c r="F18" s="258">
        <f t="shared" ca="1" si="3"/>
        <v>3896.9954084092296</v>
      </c>
      <c r="G18" s="258">
        <f t="shared" ca="1" si="3"/>
        <v>3494.6009131920077</v>
      </c>
      <c r="H18" s="258">
        <f t="shared" ca="1" si="3"/>
        <v>3143.7456412741863</v>
      </c>
      <c r="I18" s="258">
        <f t="shared" ca="1" si="3"/>
        <v>2836.5775399873187</v>
      </c>
      <c r="J18" s="258">
        <f t="shared" ca="1" si="3"/>
        <v>2566.5929749517218</v>
      </c>
      <c r="K18" s="258">
        <f t="shared" ca="1" si="3"/>
        <v>2328.3908792957682</v>
      </c>
      <c r="L18" s="258">
        <f t="shared" ca="1" si="3"/>
        <v>2117.4704255791144</v>
      </c>
      <c r="M18" s="258">
        <f t="shared" ca="1" si="3"/>
        <v>1941.7943214693098</v>
      </c>
      <c r="N18" s="258">
        <f t="shared" ca="1" si="3"/>
        <v>1791.1956217875272</v>
      </c>
      <c r="O18" s="258">
        <f t="shared" ca="1" si="3"/>
        <v>1653.3371917351556</v>
      </c>
      <c r="P18" s="258">
        <f t="shared" ca="1" si="3"/>
        <v>1527.1016237573308</v>
      </c>
      <c r="Q18" s="258">
        <f t="shared" ca="1" si="3"/>
        <v>1339.241311741757</v>
      </c>
      <c r="R18" s="258">
        <f t="shared" ca="1" si="3"/>
        <v>1239.7617122647748</v>
      </c>
      <c r="S18" s="258">
        <f t="shared" ca="1" si="3"/>
        <v>1148.5339390188301</v>
      </c>
      <c r="T18" s="258">
        <f t="shared" ca="1" si="3"/>
        <v>1064.8398644103695</v>
      </c>
      <c r="U18" s="258">
        <f t="shared" ca="1" si="3"/>
        <v>988.02503195237853</v>
      </c>
      <c r="V18" s="258">
        <f t="shared" ca="1" si="3"/>
        <v>917.49297189654089</v>
      </c>
      <c r="W18" s="258">
        <f t="shared" ca="1" si="3"/>
        <v>852.70002562723187</v>
      </c>
      <c r="X18" s="258">
        <f t="shared" ca="1" si="3"/>
        <v>793.1506332406874</v>
      </c>
      <c r="Y18" s="258">
        <f t="shared" ca="1" si="3"/>
        <v>738.39304281696855</v>
      </c>
      <c r="Z18" s="258">
        <f t="shared" ca="1" si="3"/>
        <v>688.01540361054379</v>
      </c>
      <c r="AA18" s="258">
        <f t="shared" ca="1" si="3"/>
        <v>641.64220877028004</v>
      </c>
      <c r="AB18" s="258">
        <f t="shared" ca="1" si="3"/>
        <v>598.93105628124783</v>
      </c>
      <c r="AC18" s="259">
        <f t="shared" ca="1" si="3"/>
        <v>559.56969962615256</v>
      </c>
    </row>
    <row r="19" spans="2:29" ht="15.75" thickBot="1" x14ac:dyDescent="0.3"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2:29" x14ac:dyDescent="0.25">
      <c r="B20" s="198" t="s">
        <v>90</v>
      </c>
      <c r="C20" s="143" t="s">
        <v>91</v>
      </c>
      <c r="D20" s="143"/>
      <c r="E20" s="266">
        <f>'C - Generation'!E8</f>
        <v>4128.1499999999996</v>
      </c>
      <c r="F20" s="266">
        <f>E20</f>
        <v>4128.1499999999996</v>
      </c>
      <c r="G20" s="266">
        <f t="shared" ref="G20:AC20" si="4">F20</f>
        <v>4128.1499999999996</v>
      </c>
      <c r="H20" s="266">
        <f t="shared" si="4"/>
        <v>4128.1499999999996</v>
      </c>
      <c r="I20" s="266">
        <f t="shared" si="4"/>
        <v>4128.1499999999996</v>
      </c>
      <c r="J20" s="266">
        <f t="shared" si="4"/>
        <v>4128.1499999999996</v>
      </c>
      <c r="K20" s="266">
        <f t="shared" si="4"/>
        <v>4128.1499999999996</v>
      </c>
      <c r="L20" s="266">
        <f t="shared" si="4"/>
        <v>4128.1499999999996</v>
      </c>
      <c r="M20" s="266">
        <f t="shared" si="4"/>
        <v>4128.1499999999996</v>
      </c>
      <c r="N20" s="266">
        <f t="shared" si="4"/>
        <v>4128.1499999999996</v>
      </c>
      <c r="O20" s="266">
        <f t="shared" si="4"/>
        <v>4128.1499999999996</v>
      </c>
      <c r="P20" s="266">
        <f t="shared" si="4"/>
        <v>4128.1499999999996</v>
      </c>
      <c r="Q20" s="266">
        <f t="shared" si="4"/>
        <v>4128.1499999999996</v>
      </c>
      <c r="R20" s="266">
        <f t="shared" si="4"/>
        <v>4128.1499999999996</v>
      </c>
      <c r="S20" s="266">
        <f t="shared" si="4"/>
        <v>4128.1499999999996</v>
      </c>
      <c r="T20" s="266">
        <f t="shared" si="4"/>
        <v>4128.1499999999996</v>
      </c>
      <c r="U20" s="266">
        <f t="shared" si="4"/>
        <v>4128.1499999999996</v>
      </c>
      <c r="V20" s="266">
        <f t="shared" si="4"/>
        <v>4128.1499999999996</v>
      </c>
      <c r="W20" s="266">
        <f t="shared" si="4"/>
        <v>4128.1499999999996</v>
      </c>
      <c r="X20" s="266">
        <f t="shared" si="4"/>
        <v>4128.1499999999996</v>
      </c>
      <c r="Y20" s="266">
        <f t="shared" si="4"/>
        <v>4128.1499999999996</v>
      </c>
      <c r="Z20" s="266">
        <f t="shared" si="4"/>
        <v>4128.1499999999996</v>
      </c>
      <c r="AA20" s="266">
        <f t="shared" si="4"/>
        <v>4128.1499999999996</v>
      </c>
      <c r="AB20" s="266">
        <f t="shared" si="4"/>
        <v>4128.1499999999996</v>
      </c>
      <c r="AC20" s="15">
        <f t="shared" si="4"/>
        <v>4128.1499999999996</v>
      </c>
    </row>
    <row r="21" spans="2:29" x14ac:dyDescent="0.25">
      <c r="B21" s="66" t="s">
        <v>100</v>
      </c>
      <c r="C21" s="10" t="s">
        <v>106</v>
      </c>
      <c r="D21" s="63">
        <f>AVERAGE(E21:AC21)</f>
        <v>0.15182133072916493</v>
      </c>
      <c r="E21" s="63">
        <f>E14/(E$20*10)</f>
        <v>0.21898429078400736</v>
      </c>
      <c r="F21" s="63">
        <f t="shared" ref="F21:AC25" si="5">F14/(F$20*10)</f>
        <v>0.21192689038937643</v>
      </c>
      <c r="G21" s="63">
        <f t="shared" si="5"/>
        <v>0.20507805815030838</v>
      </c>
      <c r="H21" s="63">
        <f t="shared" si="5"/>
        <v>0.19844877532481073</v>
      </c>
      <c r="I21" s="63">
        <f t="shared" si="5"/>
        <v>0.19203378841754443</v>
      </c>
      <c r="J21" s="63">
        <f t="shared" si="5"/>
        <v>0.18582617017230715</v>
      </c>
      <c r="K21" s="63">
        <f t="shared" si="5"/>
        <v>0.17981921726099961</v>
      </c>
      <c r="L21" s="63">
        <f t="shared" si="5"/>
        <v>0.17400644304500293</v>
      </c>
      <c r="M21" s="63">
        <f t="shared" si="5"/>
        <v>0.16838157057054878</v>
      </c>
      <c r="N21" s="63">
        <f t="shared" si="5"/>
        <v>0.16293852579051907</v>
      </c>
      <c r="O21" s="63">
        <f t="shared" si="5"/>
        <v>0.15767143100535527</v>
      </c>
      <c r="P21" s="63">
        <f t="shared" si="5"/>
        <v>0.15257459851599481</v>
      </c>
      <c r="Q21" s="63">
        <f t="shared" si="5"/>
        <v>0.14764252448198012</v>
      </c>
      <c r="R21" s="63">
        <f t="shared" si="5"/>
        <v>0.14286988297810871</v>
      </c>
      <c r="S21" s="63">
        <f t="shared" si="5"/>
        <v>0.13825152024320575</v>
      </c>
      <c r="T21" s="63">
        <f t="shared" si="5"/>
        <v>0.13378244911480894</v>
      </c>
      <c r="U21" s="63">
        <f t="shared" si="5"/>
        <v>0.12945784364375557</v>
      </c>
      <c r="V21" s="63">
        <f t="shared" si="5"/>
        <v>0.1252730338828571</v>
      </c>
      <c r="W21" s="63">
        <f t="shared" si="5"/>
        <v>0.12122350084403272</v>
      </c>
      <c r="X21" s="63">
        <f t="shared" si="5"/>
        <v>0.11730487161845732</v>
      </c>
      <c r="Y21" s="63">
        <f t="shared" si="5"/>
        <v>0.11351291465445346</v>
      </c>
      <c r="Z21" s="63">
        <f t="shared" si="5"/>
        <v>0.10984353518802893</v>
      </c>
      <c r="AA21" s="63">
        <f t="shared" si="5"/>
        <v>0.10629277082112505</v>
      </c>
      <c r="AB21" s="63">
        <f t="shared" si="5"/>
        <v>0.10285678724280101</v>
      </c>
      <c r="AC21" s="67">
        <f t="shared" si="5"/>
        <v>9.9531874088733541E-2</v>
      </c>
    </row>
    <row r="22" spans="2:29" x14ac:dyDescent="0.25">
      <c r="B22" s="66" t="s">
        <v>104</v>
      </c>
      <c r="C22" s="10" t="s">
        <v>106</v>
      </c>
      <c r="D22" s="63">
        <f t="shared" ref="D22:D25" si="6">AVERAGE(E22:AC22)</f>
        <v>0.18297639154063894</v>
      </c>
      <c r="E22" s="63">
        <f t="shared" ref="E22:T25" si="7">E15/(E$20*10)</f>
        <v>0.45334135145257254</v>
      </c>
      <c r="F22" s="63">
        <f t="shared" si="7"/>
        <v>0.41270856546041268</v>
      </c>
      <c r="G22" s="63">
        <f t="shared" si="7"/>
        <v>0.37571767821010499</v>
      </c>
      <c r="H22" s="63">
        <f t="shared" si="7"/>
        <v>0.34204226791879494</v>
      </c>
      <c r="I22" s="63">
        <f t="shared" si="7"/>
        <v>0.31138516984449449</v>
      </c>
      <c r="J22" s="63">
        <f t="shared" si="7"/>
        <v>0.28347585399037406</v>
      </c>
      <c r="K22" s="63">
        <f t="shared" si="7"/>
        <v>0.25806803784426485</v>
      </c>
      <c r="L22" s="63">
        <f t="shared" si="7"/>
        <v>0.23493751308727137</v>
      </c>
      <c r="M22" s="63">
        <f t="shared" si="7"/>
        <v>0.21388016709353389</v>
      </c>
      <c r="N22" s="63">
        <f t="shared" si="7"/>
        <v>0.19471018176209842</v>
      </c>
      <c r="O22" s="63">
        <f t="shared" si="7"/>
        <v>0.17725839378669336</v>
      </c>
      <c r="P22" s="63">
        <f t="shared" si="7"/>
        <v>0.16137080189380551</v>
      </c>
      <c r="Q22" s="63">
        <f t="shared" si="7"/>
        <v>0.14690720787635089</v>
      </c>
      <c r="R22" s="63">
        <f t="shared" si="7"/>
        <v>0.13373997943089988</v>
      </c>
      <c r="S22" s="63">
        <f t="shared" si="7"/>
        <v>0.1217529238812582</v>
      </c>
      <c r="T22" s="63">
        <f t="shared" si="7"/>
        <v>0.1108402628497078</v>
      </c>
      <c r="U22" s="63">
        <f t="shared" si="5"/>
        <v>0.10090569882801369</v>
      </c>
      <c r="V22" s="63">
        <f t="shared" si="5"/>
        <v>9.1861565411261045E-2</v>
      </c>
      <c r="W22" s="63">
        <f t="shared" si="5"/>
        <v>8.3628053695859836E-2</v>
      </c>
      <c r="X22" s="63">
        <f t="shared" si="5"/>
        <v>7.61325080151561E-2</v>
      </c>
      <c r="Y22" s="63">
        <f t="shared" si="5"/>
        <v>6.9308784797950621E-2</v>
      </c>
      <c r="Z22" s="63">
        <f t="shared" si="5"/>
        <v>6.3096668892246799E-2</v>
      </c>
      <c r="AA22" s="63">
        <f t="shared" si="5"/>
        <v>5.7441342203644351E-2</v>
      </c>
      <c r="AB22" s="63">
        <f t="shared" si="5"/>
        <v>5.2292899959440031E-2</v>
      </c>
      <c r="AC22" s="67">
        <f t="shared" si="5"/>
        <v>4.7605910329764384E-2</v>
      </c>
    </row>
    <row r="23" spans="2:29" x14ac:dyDescent="0.25">
      <c r="B23" s="66" t="s">
        <v>101</v>
      </c>
      <c r="C23" s="10" t="s">
        <v>106</v>
      </c>
      <c r="D23" s="63">
        <f t="shared" si="6"/>
        <v>0.13817131326678742</v>
      </c>
      <c r="E23" s="63">
        <f t="shared" si="7"/>
        <v>0.4049013308367701</v>
      </c>
      <c r="F23" s="63">
        <f t="shared" si="5"/>
        <v>0.36861020259286364</v>
      </c>
      <c r="G23" s="63">
        <f t="shared" si="5"/>
        <v>0.33557183221590181</v>
      </c>
      <c r="H23" s="63">
        <f t="shared" si="5"/>
        <v>0.30549467644853923</v>
      </c>
      <c r="I23" s="63">
        <f t="shared" si="5"/>
        <v>0.27811332292739177</v>
      </c>
      <c r="J23" s="63">
        <f t="shared" si="5"/>
        <v>0.25318614808250145</v>
      </c>
      <c r="K23" s="63">
        <f t="shared" si="5"/>
        <v>0.23049318495824112</v>
      </c>
      <c r="L23" s="63">
        <f t="shared" si="5"/>
        <v>0.20983418214049498</v>
      </c>
      <c r="M23" s="63">
        <f t="shared" si="5"/>
        <v>0.19102683666134207</v>
      </c>
      <c r="N23" s="63">
        <f t="shared" si="5"/>
        <v>0.17390518528771567</v>
      </c>
      <c r="O23" s="63">
        <f t="shared" si="5"/>
        <v>0.15831813999815331</v>
      </c>
      <c r="P23" s="63">
        <f t="shared" si="5"/>
        <v>0.1441281547241213</v>
      </c>
      <c r="Q23" s="63">
        <f t="shared" si="5"/>
        <v>5.0943281015339625E-2</v>
      </c>
      <c r="R23" s="63">
        <f t="shared" si="5"/>
        <v>4.6377257138183317E-2</v>
      </c>
      <c r="S23" s="63">
        <f t="shared" si="5"/>
        <v>4.2220483973412097E-2</v>
      </c>
      <c r="T23" s="63">
        <f t="shared" si="5"/>
        <v>3.8436280559626348E-2</v>
      </c>
      <c r="U23" s="63">
        <f t="shared" si="5"/>
        <v>3.4991253633867743E-2</v>
      </c>
      <c r="V23" s="63">
        <f t="shared" si="5"/>
        <v>3.1855002956653541E-2</v>
      </c>
      <c r="W23" s="63">
        <f t="shared" si="5"/>
        <v>2.8999853048598579E-2</v>
      </c>
      <c r="X23" s="63">
        <f t="shared" si="5"/>
        <v>2.6400608971365824E-2</v>
      </c>
      <c r="Y23" s="63">
        <f t="shared" si="5"/>
        <v>2.4034333997862929E-2</v>
      </c>
      <c r="Z23" s="63">
        <f t="shared" si="5"/>
        <v>2.1880147209761329E-2</v>
      </c>
      <c r="AA23" s="63">
        <f t="shared" si="5"/>
        <v>1.9919039236260712E-2</v>
      </c>
      <c r="AB23" s="63">
        <f t="shared" si="5"/>
        <v>1.8133704508106998E-2</v>
      </c>
      <c r="AC23" s="67">
        <f t="shared" si="5"/>
        <v>1.6508388546608917E-2</v>
      </c>
    </row>
    <row r="24" spans="2:29" x14ac:dyDescent="0.25">
      <c r="B24" s="66" t="s">
        <v>102</v>
      </c>
      <c r="C24" s="10" t="s">
        <v>106</v>
      </c>
      <c r="D24" s="63">
        <f t="shared" si="6"/>
        <v>7.9751665451744266E-2</v>
      </c>
      <c r="E24" s="63">
        <f t="shared" si="7"/>
        <v>0.64416120814940692</v>
      </c>
      <c r="F24" s="63">
        <f t="shared" si="5"/>
        <v>0.47182105931886548</v>
      </c>
      <c r="G24" s="63">
        <f t="shared" si="5"/>
        <v>0.33771949194208362</v>
      </c>
      <c r="H24" s="63">
        <f t="shared" si="5"/>
        <v>0.23389650011864799</v>
      </c>
      <c r="I24" s="63">
        <f t="shared" si="5"/>
        <v>0.15400696574911249</v>
      </c>
      <c r="J24" s="63">
        <f t="shared" si="5"/>
        <v>9.299664466217436E-2</v>
      </c>
      <c r="K24" s="63">
        <f t="shared" si="5"/>
        <v>4.6842846542515817E-2</v>
      </c>
      <c r="L24" s="63">
        <f t="shared" si="5"/>
        <v>1.2346919810799991E-2</v>
      </c>
      <c r="M24" s="63">
        <f t="shared" si="5"/>
        <v>0</v>
      </c>
      <c r="N24" s="63">
        <f t="shared" si="5"/>
        <v>0</v>
      </c>
      <c r="O24" s="63">
        <f t="shared" si="5"/>
        <v>0</v>
      </c>
      <c r="P24" s="63">
        <f t="shared" si="5"/>
        <v>0</v>
      </c>
      <c r="Q24" s="63">
        <f t="shared" si="5"/>
        <v>0</v>
      </c>
      <c r="R24" s="63">
        <f t="shared" si="5"/>
        <v>0</v>
      </c>
      <c r="S24" s="63">
        <f t="shared" si="5"/>
        <v>0</v>
      </c>
      <c r="T24" s="63">
        <f t="shared" si="5"/>
        <v>0</v>
      </c>
      <c r="U24" s="63">
        <f t="shared" si="5"/>
        <v>0</v>
      </c>
      <c r="V24" s="63">
        <f t="shared" si="5"/>
        <v>0</v>
      </c>
      <c r="W24" s="63">
        <f t="shared" si="5"/>
        <v>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7">
        <f t="shared" si="5"/>
        <v>0</v>
      </c>
    </row>
    <row r="25" spans="2:29" ht="15.75" thickBot="1" x14ac:dyDescent="0.3">
      <c r="B25" s="196" t="s">
        <v>103</v>
      </c>
      <c r="C25" s="153" t="s">
        <v>106</v>
      </c>
      <c r="D25" s="241">
        <f t="shared" ca="1" si="6"/>
        <v>4.1886563253999497E-2</v>
      </c>
      <c r="E25" s="119">
        <f t="shared" ca="1" si="7"/>
        <v>0.10562611779012542</v>
      </c>
      <c r="F25" s="119">
        <f t="shared" ca="1" si="5"/>
        <v>9.4400528285290733E-2</v>
      </c>
      <c r="G25" s="119">
        <f t="shared" ca="1" si="5"/>
        <v>8.4652953821736321E-2</v>
      </c>
      <c r="H25" s="119">
        <f t="shared" ca="1" si="5"/>
        <v>7.6153861688024571E-2</v>
      </c>
      <c r="I25" s="119">
        <f t="shared" ca="1" si="5"/>
        <v>6.8713044341589299E-2</v>
      </c>
      <c r="J25" s="119">
        <f t="shared" ca="1" si="5"/>
        <v>6.2172958224670172E-2</v>
      </c>
      <c r="K25" s="119">
        <f t="shared" ca="1" si="5"/>
        <v>5.6402768293200782E-2</v>
      </c>
      <c r="L25" s="119">
        <f t="shared" ca="1" si="5"/>
        <v>5.1293446836454933E-2</v>
      </c>
      <c r="M25" s="119">
        <f t="shared" ca="1" si="5"/>
        <v>4.7037881895505486E-2</v>
      </c>
      <c r="N25" s="119">
        <f t="shared" ca="1" si="5"/>
        <v>4.338979014298238E-2</v>
      </c>
      <c r="O25" s="119">
        <f t="shared" ca="1" si="5"/>
        <v>4.0050317738821395E-2</v>
      </c>
      <c r="P25" s="119">
        <f t="shared" ca="1" si="5"/>
        <v>3.6992396685133315E-2</v>
      </c>
      <c r="Q25" s="119">
        <f t="shared" ca="1" si="5"/>
        <v>3.244168239385093E-2</v>
      </c>
      <c r="R25" s="119">
        <f t="shared" ca="1" si="5"/>
        <v>3.0031895940427912E-2</v>
      </c>
      <c r="S25" s="119">
        <f t="shared" ca="1" si="5"/>
        <v>2.7822001114756734E-2</v>
      </c>
      <c r="T25" s="119">
        <f t="shared" ca="1" si="5"/>
        <v>2.5794602047172936E-2</v>
      </c>
      <c r="U25" s="119">
        <f t="shared" ca="1" si="5"/>
        <v>2.3933845232183389E-2</v>
      </c>
      <c r="V25" s="119">
        <f t="shared" ca="1" si="5"/>
        <v>2.2225281830760533E-2</v>
      </c>
      <c r="W25" s="119">
        <f t="shared" ca="1" si="5"/>
        <v>2.0655742296845605E-2</v>
      </c>
      <c r="X25" s="119">
        <f t="shared" ca="1" si="5"/>
        <v>1.9213222224015294E-2</v>
      </c>
      <c r="Y25" s="119">
        <f t="shared" ca="1" si="5"/>
        <v>1.7886778407203433E-2</v>
      </c>
      <c r="Z25" s="119">
        <f t="shared" ca="1" si="5"/>
        <v>1.6666434204438883E-2</v>
      </c>
      <c r="AA25" s="119">
        <f t="shared" ca="1" si="5"/>
        <v>1.5543093365557939E-2</v>
      </c>
      <c r="AB25" s="119">
        <f t="shared" ca="1" si="5"/>
        <v>1.4508461569498391E-2</v>
      </c>
      <c r="AC25" s="120">
        <f t="shared" ca="1" si="5"/>
        <v>1.3554974979740382E-2</v>
      </c>
    </row>
    <row r="26" spans="2:29" s="2" customFormat="1" x14ac:dyDescent="0.25">
      <c r="B26" s="267" t="s">
        <v>105</v>
      </c>
      <c r="C26" s="268" t="s">
        <v>106</v>
      </c>
      <c r="D26" s="269">
        <f ca="1">SUM(D21:D25)</f>
        <v>0.59460726424233512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2:29" ht="15.75" thickBot="1" x14ac:dyDescent="0.3">
      <c r="B27" s="270" t="s">
        <v>108</v>
      </c>
      <c r="C27" s="271" t="s">
        <v>106</v>
      </c>
      <c r="D27" s="272">
        <f>'[1]Energy Charges'!E12</f>
        <v>1.893429463417124</v>
      </c>
      <c r="E27" s="107"/>
    </row>
    <row r="28" spans="2:29" ht="16.5" thickBot="1" x14ac:dyDescent="0.3">
      <c r="B28" s="273" t="s">
        <v>383</v>
      </c>
      <c r="C28" s="274" t="s">
        <v>106</v>
      </c>
      <c r="D28" s="275">
        <f ca="1">ROUNDDOWN(SUM(D26:D27),2)</f>
        <v>2.48</v>
      </c>
    </row>
    <row r="29" spans="2:29" x14ac:dyDescent="0.25">
      <c r="D29" s="1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83266-49F8-405E-A9F5-7F2ED9745CD9}">
  <sheetPr>
    <tabColor rgb="FFFF0000"/>
  </sheetPr>
  <dimension ref="B1:AC29"/>
  <sheetViews>
    <sheetView workbookViewId="0">
      <selection activeCell="B28" sqref="B28"/>
    </sheetView>
  </sheetViews>
  <sheetFormatPr defaultRowHeight="15" x14ac:dyDescent="0.25"/>
  <cols>
    <col min="2" max="2" width="19" bestFit="1" customWidth="1"/>
    <col min="3" max="3" width="9.5703125" bestFit="1" customWidth="1"/>
    <col min="4" max="4" width="9.28515625" bestFit="1" customWidth="1"/>
    <col min="5" max="5" width="10.5703125" bestFit="1" customWidth="1"/>
    <col min="6" max="29" width="10.28515625" bestFit="1" customWidth="1"/>
  </cols>
  <sheetData>
    <row r="1" spans="2:29" x14ac:dyDescent="0.25">
      <c r="B1" s="35" t="s">
        <v>52</v>
      </c>
    </row>
    <row r="2" spans="2:29" ht="15.75" thickBot="1" x14ac:dyDescent="0.3"/>
    <row r="3" spans="2:29" s="2" customFormat="1" ht="15.75" thickBot="1" x14ac:dyDescent="0.3">
      <c r="B3" s="79"/>
      <c r="C3" s="262" t="s">
        <v>1</v>
      </c>
      <c r="D3" s="262" t="s">
        <v>107</v>
      </c>
      <c r="E3" s="82">
        <v>1</v>
      </c>
      <c r="F3" s="82">
        <v>2</v>
      </c>
      <c r="G3" s="82">
        <v>3</v>
      </c>
      <c r="H3" s="82">
        <v>4</v>
      </c>
      <c r="I3" s="82">
        <v>5</v>
      </c>
      <c r="J3" s="82">
        <v>6</v>
      </c>
      <c r="K3" s="82">
        <v>7</v>
      </c>
      <c r="L3" s="82">
        <v>8</v>
      </c>
      <c r="M3" s="82">
        <v>9</v>
      </c>
      <c r="N3" s="82">
        <v>10</v>
      </c>
      <c r="O3" s="82">
        <v>11</v>
      </c>
      <c r="P3" s="82">
        <v>12</v>
      </c>
      <c r="Q3" s="82">
        <v>13</v>
      </c>
      <c r="R3" s="82">
        <v>14</v>
      </c>
      <c r="S3" s="82">
        <v>15</v>
      </c>
      <c r="T3" s="82">
        <v>16</v>
      </c>
      <c r="U3" s="82">
        <v>17</v>
      </c>
      <c r="V3" s="82">
        <v>18</v>
      </c>
      <c r="W3" s="82">
        <v>19</v>
      </c>
      <c r="X3" s="82">
        <v>20</v>
      </c>
      <c r="Y3" s="82">
        <v>21</v>
      </c>
      <c r="Z3" s="82">
        <v>22</v>
      </c>
      <c r="AA3" s="82">
        <v>23</v>
      </c>
      <c r="AB3" s="82">
        <v>24</v>
      </c>
      <c r="AC3" s="83">
        <v>25</v>
      </c>
    </row>
    <row r="4" spans="2:29" x14ac:dyDescent="0.25">
      <c r="B4" s="74" t="s">
        <v>54</v>
      </c>
      <c r="C4" s="112" t="s">
        <v>0</v>
      </c>
      <c r="D4" s="112"/>
      <c r="E4" s="260">
        <f>'C - O&amp;M'!D6</f>
        <v>9040</v>
      </c>
      <c r="F4" s="260">
        <f>'C - O&amp;M'!E6</f>
        <v>9610</v>
      </c>
      <c r="G4" s="260">
        <f>'C - O&amp;M'!F6</f>
        <v>10215</v>
      </c>
      <c r="H4" s="260">
        <f>'C - O&amp;M'!G6</f>
        <v>10857.990318640521</v>
      </c>
      <c r="I4" s="260">
        <f>'C - O&amp;M'!H6</f>
        <v>11541.454112549318</v>
      </c>
      <c r="J4" s="260">
        <f>'C - O&amp;M'!I6</f>
        <v>12267.939012931407</v>
      </c>
      <c r="K4" s="260">
        <f>'C - O&amp;M'!J6</f>
        <v>13040.153013419635</v>
      </c>
      <c r="L4" s="260">
        <f>'C - O&amp;M'!K6</f>
        <v>13860.974564199845</v>
      </c>
      <c r="M4" s="260">
        <f>'C - O&amp;M'!L6</f>
        <v>14733.463301517811</v>
      </c>
      <c r="N4" s="260">
        <f>'C - O&amp;M'!M6</f>
        <v>15660.871452562487</v>
      </c>
      <c r="O4" s="260">
        <f>'C - O&amp;M'!N6</f>
        <v>16646.65595823761</v>
      </c>
      <c r="P4" s="260">
        <f>'C - O&amp;M'!O6</f>
        <v>17694.491359009644</v>
      </c>
      <c r="Q4" s="260">
        <f>'C - O&amp;M'!P6</f>
        <v>18808.283491864422</v>
      </c>
      <c r="R4" s="260">
        <f>'C - O&amp;M'!Q6</f>
        <v>19992.184049428313</v>
      </c>
      <c r="S4" s="260">
        <f>'C - O&amp;M'!R6</f>
        <v>21250.606055523454</v>
      </c>
      <c r="T4" s="260">
        <f>'C - O&amp;M'!S6</f>
        <v>22588.240314842613</v>
      </c>
      <c r="U4" s="260">
        <f>'C - O&amp;M'!T6</f>
        <v>24010.072898060364</v>
      </c>
      <c r="V4" s="260">
        <f>'C - O&amp;M'!U6</f>
        <v>25521.403727556786</v>
      </c>
      <c r="W4" s="260">
        <f>'C - O&amp;M'!V6</f>
        <v>27127.866333032569</v>
      </c>
      <c r="X4" s="260">
        <f>'C - O&amp;M'!W6</f>
        <v>28835.448850655092</v>
      </c>
      <c r="Y4" s="260">
        <f>'C - O&amp;M'!X6</f>
        <v>30650.516344010466</v>
      </c>
      <c r="Z4" s="260">
        <f>'C - O&amp;M'!Y6</f>
        <v>32579.834530063505</v>
      </c>
      <c r="AA4" s="260">
        <f>'C - O&amp;M'!Z6</f>
        <v>34630.594998564826</v>
      </c>
      <c r="AB4" s="260">
        <f>'C - O&amp;M'!AA6</f>
        <v>36810.442018911184</v>
      </c>
      <c r="AC4" s="261">
        <f>'C - O&amp;M'!AB6</f>
        <v>39127.501034382367</v>
      </c>
    </row>
    <row r="5" spans="2:29" x14ac:dyDescent="0.25">
      <c r="B5" s="66" t="s">
        <v>80</v>
      </c>
      <c r="C5" s="10" t="s">
        <v>0</v>
      </c>
      <c r="D5" s="10"/>
      <c r="E5" s="108">
        <f>'C - RoE'!D17</f>
        <v>18714.610999989374</v>
      </c>
      <c r="F5" s="108">
        <f>'C - RoE'!E17</f>
        <v>18714.610999989374</v>
      </c>
      <c r="G5" s="108">
        <f>'C - RoE'!F17</f>
        <v>18714.610999989374</v>
      </c>
      <c r="H5" s="108">
        <f>'C - RoE'!G17</f>
        <v>18714.610999989374</v>
      </c>
      <c r="I5" s="108">
        <f>'C - RoE'!H17</f>
        <v>18714.610999989374</v>
      </c>
      <c r="J5" s="108">
        <f>'C - RoE'!I17</f>
        <v>18714.610999989374</v>
      </c>
      <c r="K5" s="108">
        <f>'C - RoE'!J17</f>
        <v>18714.610999989374</v>
      </c>
      <c r="L5" s="108">
        <f>'C - RoE'!K17</f>
        <v>18714.610999989374</v>
      </c>
      <c r="M5" s="108">
        <f>'C - RoE'!L17</f>
        <v>18714.610999989374</v>
      </c>
      <c r="N5" s="108">
        <f>'C - RoE'!M17</f>
        <v>18714.610999989374</v>
      </c>
      <c r="O5" s="108">
        <f>'C - RoE'!N17</f>
        <v>18714.610999989374</v>
      </c>
      <c r="P5" s="108">
        <f>'C - RoE'!O17</f>
        <v>18714.610999989374</v>
      </c>
      <c r="Q5" s="108">
        <f>'C - RoE'!P17</f>
        <v>18714.610999989374</v>
      </c>
      <c r="R5" s="108">
        <f>'C - RoE'!Q17</f>
        <v>18714.610999989374</v>
      </c>
      <c r="S5" s="108">
        <f>'C - RoE'!R17</f>
        <v>18714.610999989374</v>
      </c>
      <c r="T5" s="108">
        <f>'C - RoE'!S17</f>
        <v>18714.610999989374</v>
      </c>
      <c r="U5" s="108">
        <f>'C - RoE'!T17</f>
        <v>18714.610999989374</v>
      </c>
      <c r="V5" s="108">
        <f>'C - RoE'!U17</f>
        <v>18714.610999989374</v>
      </c>
      <c r="W5" s="108">
        <f>'C - RoE'!V17</f>
        <v>18714.610999989374</v>
      </c>
      <c r="X5" s="108">
        <f>'C - RoE'!W17</f>
        <v>18714.610999989374</v>
      </c>
      <c r="Y5" s="108">
        <f>'C - RoE'!X17</f>
        <v>18714.610999989374</v>
      </c>
      <c r="Z5" s="108">
        <f>'C - RoE'!Y17</f>
        <v>18714.610999989374</v>
      </c>
      <c r="AA5" s="108">
        <f>'C - RoE'!Z17</f>
        <v>18714.610999989374</v>
      </c>
      <c r="AB5" s="108">
        <f>'C - RoE'!AA17</f>
        <v>18714.610999989374</v>
      </c>
      <c r="AC5" s="19">
        <f>'C - RoE'!AB17</f>
        <v>18714.610999989374</v>
      </c>
    </row>
    <row r="6" spans="2:29" x14ac:dyDescent="0.25">
      <c r="B6" s="66" t="s">
        <v>75</v>
      </c>
      <c r="C6" s="10" t="s">
        <v>0</v>
      </c>
      <c r="D6" s="10"/>
      <c r="E6" s="108">
        <f>'C - Depreciation'!D13</f>
        <v>16714.934288938126</v>
      </c>
      <c r="F6" s="108">
        <f>'C - Depreciation'!E13</f>
        <v>16714.934288938126</v>
      </c>
      <c r="G6" s="108">
        <f>'C - Depreciation'!F13</f>
        <v>16714.934288938126</v>
      </c>
      <c r="H6" s="108">
        <f>'C - Depreciation'!G13</f>
        <v>16714.934288938126</v>
      </c>
      <c r="I6" s="108">
        <f>'C - Depreciation'!H13</f>
        <v>16714.934288938126</v>
      </c>
      <c r="J6" s="108">
        <f>'C - Depreciation'!I13</f>
        <v>16714.934288938126</v>
      </c>
      <c r="K6" s="108">
        <f>'C - Depreciation'!J13</f>
        <v>16714.934288938126</v>
      </c>
      <c r="L6" s="108">
        <f>'C - Depreciation'!K13</f>
        <v>16714.934288938126</v>
      </c>
      <c r="M6" s="108">
        <f>'C - Depreciation'!L13</f>
        <v>16714.934288938126</v>
      </c>
      <c r="N6" s="108">
        <f>'C - Depreciation'!M13</f>
        <v>16714.934288938126</v>
      </c>
      <c r="O6" s="108">
        <f>'C - Depreciation'!N13</f>
        <v>16714.934288938126</v>
      </c>
      <c r="P6" s="108">
        <f>'C - Depreciation'!O13</f>
        <v>16714.934288938126</v>
      </c>
      <c r="Q6" s="108">
        <f>'C - Depreciation'!P13</f>
        <v>6489.6998659702958</v>
      </c>
      <c r="R6" s="108">
        <f>'C - Depreciation'!Q13</f>
        <v>6489.6998659702958</v>
      </c>
      <c r="S6" s="108">
        <f>'C - Depreciation'!R13</f>
        <v>6489.6998659702958</v>
      </c>
      <c r="T6" s="108">
        <f>'C - Depreciation'!S13</f>
        <v>6489.6998659702958</v>
      </c>
      <c r="U6" s="108">
        <f>'C - Depreciation'!T13</f>
        <v>6489.6998659702958</v>
      </c>
      <c r="V6" s="108">
        <f>'C - Depreciation'!U13</f>
        <v>6489.6998659702958</v>
      </c>
      <c r="W6" s="108">
        <f>'C - Depreciation'!V13</f>
        <v>6489.6998659702958</v>
      </c>
      <c r="X6" s="108">
        <f>'C - Depreciation'!W13</f>
        <v>6489.6998659702958</v>
      </c>
      <c r="Y6" s="108">
        <f>'C - Depreciation'!X13</f>
        <v>6489.6998659702958</v>
      </c>
      <c r="Z6" s="108">
        <f>'C - Depreciation'!Y13</f>
        <v>6489.6998659702958</v>
      </c>
      <c r="AA6" s="108">
        <f>'C - Depreciation'!Z13</f>
        <v>6489.6998659702958</v>
      </c>
      <c r="AB6" s="108">
        <f>'C - Depreciation'!AA13</f>
        <v>6489.6998659702958</v>
      </c>
      <c r="AC6" s="19">
        <f>'C - Depreciation'!AB13</f>
        <v>6489.6998659702958</v>
      </c>
    </row>
    <row r="7" spans="2:29" x14ac:dyDescent="0.25">
      <c r="B7" s="66" t="s">
        <v>76</v>
      </c>
      <c r="C7" s="10" t="s">
        <v>0</v>
      </c>
      <c r="D7" s="10"/>
      <c r="E7" s="108">
        <f>'C - Interest on Loan'!D16</f>
        <v>26591.940914219744</v>
      </c>
      <c r="F7" s="108">
        <f>'C - Interest on Loan'!E16</f>
        <v>21395.115889840803</v>
      </c>
      <c r="G7" s="108">
        <f>'C - Interest on Loan'!F16</f>
        <v>16821.909868387331</v>
      </c>
      <c r="H7" s="108">
        <f>'C - Interest on Loan'!G16</f>
        <v>12797.488569508278</v>
      </c>
      <c r="I7" s="108">
        <f>'C - Interest on Loan'!H16</f>
        <v>9255.9978264947113</v>
      </c>
      <c r="J7" s="108">
        <f>'C - Interest on Loan'!I16</f>
        <v>6139.4859726427703</v>
      </c>
      <c r="K7" s="108">
        <f>'C - Interest on Loan'!J16</f>
        <v>3396.9555412530631</v>
      </c>
      <c r="L7" s="108">
        <f>'C - Interest on Loan'!K16</f>
        <v>983.52876163012058</v>
      </c>
      <c r="M7" s="108">
        <f>'C - Interest on Loan'!L16</f>
        <v>0</v>
      </c>
      <c r="N7" s="108">
        <f>'C - Interest on Loan'!M16</f>
        <v>0</v>
      </c>
      <c r="O7" s="108">
        <f>'C - Interest on Loan'!N16</f>
        <v>0</v>
      </c>
      <c r="P7" s="108">
        <f>'C - Interest on Loan'!O16</f>
        <v>0</v>
      </c>
      <c r="Q7" s="108">
        <f>'C - Interest on Loan'!P16</f>
        <v>0</v>
      </c>
      <c r="R7" s="108">
        <f>'C - Interest on Loan'!Q16</f>
        <v>0</v>
      </c>
      <c r="S7" s="108">
        <f>'C - Interest on Loan'!R16</f>
        <v>0</v>
      </c>
      <c r="T7" s="108">
        <f>'C - Interest on Loan'!S16</f>
        <v>0</v>
      </c>
      <c r="U7" s="108">
        <f>'C - Interest on Loan'!T16</f>
        <v>0</v>
      </c>
      <c r="V7" s="108">
        <f>'C - Interest on Loan'!U16</f>
        <v>0</v>
      </c>
      <c r="W7" s="108">
        <f>'C - Interest on Loan'!V16</f>
        <v>0</v>
      </c>
      <c r="X7" s="108">
        <f>'C - Interest on Loan'!W16</f>
        <v>0</v>
      </c>
      <c r="Y7" s="108">
        <f>'C - Interest on Loan'!X16</f>
        <v>0</v>
      </c>
      <c r="Z7" s="108">
        <f>'C - Interest on Loan'!Y16</f>
        <v>0</v>
      </c>
      <c r="AA7" s="108">
        <f>'C - Interest on Loan'!Z16</f>
        <v>0</v>
      </c>
      <c r="AB7" s="108">
        <f>'C - Interest on Loan'!AA16</f>
        <v>0</v>
      </c>
      <c r="AC7" s="19">
        <f>'C - Interest on Loan'!AB16</f>
        <v>0</v>
      </c>
    </row>
    <row r="8" spans="2:29" x14ac:dyDescent="0.25">
      <c r="B8" s="66" t="s">
        <v>81</v>
      </c>
      <c r="C8" s="10" t="s">
        <v>0</v>
      </c>
      <c r="D8" s="108"/>
      <c r="E8" s="108">
        <f ca="1">'C - Interest on WC'!D29</f>
        <v>4299.9865206697586</v>
      </c>
      <c r="F8" s="108">
        <f ca="1">'C - Interest on WC'!E29</f>
        <v>4220.2519152337054</v>
      </c>
      <c r="G8" s="108">
        <f ca="1">'C - Interest on WC'!F29</f>
        <v>4156.1711300249108</v>
      </c>
      <c r="H8" s="108">
        <f ca="1">'C - Interest on WC'!G29</f>
        <v>4106.2888970320028</v>
      </c>
      <c r="I8" s="108">
        <f ca="1">'C - Interest on WC'!H29</f>
        <v>4069.315850722252</v>
      </c>
      <c r="J8" s="108">
        <f ca="1">'C - Interest on WC'!I29</f>
        <v>4044.1386818324363</v>
      </c>
      <c r="K8" s="108">
        <f ca="1">'C - Interest on WC'!J29</f>
        <v>4029.8051095148012</v>
      </c>
      <c r="L8" s="108">
        <f ca="1">'C - Interest on WC'!K29</f>
        <v>4025.5062846098126</v>
      </c>
      <c r="M8" s="108">
        <f ca="1">'C - Interest on WC'!L29</f>
        <v>4055.4178013210576</v>
      </c>
      <c r="N8" s="108">
        <f ca="1">'C - Interest on WC'!M29</f>
        <v>4110.0009513552941</v>
      </c>
      <c r="O8" s="108">
        <f ca="1">'C - Interest on WC'!N29</f>
        <v>4168.0198759399882</v>
      </c>
      <c r="P8" s="108">
        <f ca="1">'C - Interest on WC'!O29</f>
        <v>4229.6908423069526</v>
      </c>
      <c r="Q8" s="108">
        <f ca="1">'C - Interest on WC'!P29</f>
        <v>4072.3503373639574</v>
      </c>
      <c r="R8" s="108">
        <f ca="1">'C - Interest on WC'!Q29</f>
        <v>4142.0294982451023</v>
      </c>
      <c r="S8" s="108">
        <f ca="1">'C - Interest on WC'!R29</f>
        <v>4216.0946626365321</v>
      </c>
      <c r="T8" s="108">
        <f ca="1">'C - Interest on WC'!S29</f>
        <v>4294.8219105964608</v>
      </c>
      <c r="U8" s="108">
        <f ca="1">'C - Interest on WC'!T29</f>
        <v>4378.5047002354358</v>
      </c>
      <c r="V8" s="108">
        <f ca="1">'C - Interest on WC'!U29</f>
        <v>4467.4549615899932</v>
      </c>
      <c r="W8" s="108">
        <f ca="1">'C - Interest on WC'!V29</f>
        <v>4562.0042593509661</v>
      </c>
      <c r="X8" s="108">
        <f ca="1">'C - Interest on WC'!W29</f>
        <v>4662.5050287805198</v>
      </c>
      <c r="Y8" s="108">
        <f ca="1">'C - Interest on WC'!X29</f>
        <v>4769.3318894248687</v>
      </c>
      <c r="Z8" s="108">
        <f ca="1">'C - Interest on WC'!Y29</f>
        <v>4882.8830415195434</v>
      </c>
      <c r="AA8" s="108">
        <f ca="1">'C - Interest on WC'!Z29</f>
        <v>5003.5817502923737</v>
      </c>
      <c r="AB8" s="108">
        <f ca="1">'C - Interest on WC'!AA29</f>
        <v>5131.8779236969549</v>
      </c>
      <c r="AC8" s="19">
        <f ca="1">'C - Interest on WC'!AB29</f>
        <v>5268.2497894576563</v>
      </c>
    </row>
    <row r="9" spans="2:29" ht="15.75" thickBot="1" x14ac:dyDescent="0.3">
      <c r="B9" s="141" t="s">
        <v>82</v>
      </c>
      <c r="C9" s="110" t="s">
        <v>0</v>
      </c>
      <c r="D9" s="110"/>
      <c r="E9" s="258">
        <f ca="1">SUM(E4:E8)</f>
        <v>75361.472723817002</v>
      </c>
      <c r="F9" s="258">
        <f t="shared" ref="F9:AC9" ca="1" si="0">SUM(F4:F8)</f>
        <v>70654.913094002011</v>
      </c>
      <c r="G9" s="258">
        <f t="shared" ca="1" si="0"/>
        <v>66622.62628733975</v>
      </c>
      <c r="H9" s="258">
        <f t="shared" ca="1" si="0"/>
        <v>63191.3130741083</v>
      </c>
      <c r="I9" s="258">
        <f t="shared" ca="1" si="0"/>
        <v>60296.313078693784</v>
      </c>
      <c r="J9" s="258">
        <f t="shared" ca="1" si="0"/>
        <v>57881.108956334108</v>
      </c>
      <c r="K9" s="258">
        <f t="shared" ca="1" si="0"/>
        <v>55896.458953115005</v>
      </c>
      <c r="L9" s="258">
        <f t="shared" ca="1" si="0"/>
        <v>54299.554899367286</v>
      </c>
      <c r="M9" s="258">
        <f t="shared" ca="1" si="0"/>
        <v>54218.42639176637</v>
      </c>
      <c r="N9" s="258">
        <f t="shared" ca="1" si="0"/>
        <v>55200.41769284528</v>
      </c>
      <c r="O9" s="258">
        <f t="shared" ca="1" si="0"/>
        <v>56244.221123105097</v>
      </c>
      <c r="P9" s="258">
        <f t="shared" ca="1" si="0"/>
        <v>57353.727490244099</v>
      </c>
      <c r="Q9" s="258">
        <f t="shared" ca="1" si="0"/>
        <v>48084.944695188045</v>
      </c>
      <c r="R9" s="258">
        <f t="shared" ca="1" si="0"/>
        <v>49338.524413633088</v>
      </c>
      <c r="S9" s="258">
        <f t="shared" ca="1" si="0"/>
        <v>50671.011584119653</v>
      </c>
      <c r="T9" s="258">
        <f t="shared" ca="1" si="0"/>
        <v>52087.373091398746</v>
      </c>
      <c r="U9" s="258">
        <f t="shared" ca="1" si="0"/>
        <v>53592.888464255469</v>
      </c>
      <c r="V9" s="258">
        <f t="shared" ca="1" si="0"/>
        <v>55193.169555106455</v>
      </c>
      <c r="W9" s="258">
        <f t="shared" ca="1" si="0"/>
        <v>56894.181458343206</v>
      </c>
      <c r="X9" s="258">
        <f t="shared" ca="1" si="0"/>
        <v>58702.264745395281</v>
      </c>
      <c r="Y9" s="258">
        <f t="shared" ca="1" si="0"/>
        <v>60624.159099395001</v>
      </c>
      <c r="Z9" s="258">
        <f t="shared" ca="1" si="0"/>
        <v>62667.028437542715</v>
      </c>
      <c r="AA9" s="258">
        <f t="shared" ca="1" si="0"/>
        <v>64838.48761481687</v>
      </c>
      <c r="AB9" s="258">
        <f t="shared" ca="1" si="0"/>
        <v>67146.630808567803</v>
      </c>
      <c r="AC9" s="259">
        <f t="shared" ca="1" si="0"/>
        <v>69600.061689799695</v>
      </c>
    </row>
    <row r="10" spans="2:29" ht="15.75" thickBot="1" x14ac:dyDescent="0.3"/>
    <row r="11" spans="2:29" x14ac:dyDescent="0.25">
      <c r="B11" s="198" t="s">
        <v>84</v>
      </c>
      <c r="C11" s="263">
        <f>[1]Assumptions!E17</f>
        <v>9.8453944000000002E-2</v>
      </c>
      <c r="D11" s="26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52"/>
    </row>
    <row r="12" spans="2:29" ht="15.75" thickBot="1" x14ac:dyDescent="0.3">
      <c r="B12" s="141" t="s">
        <v>83</v>
      </c>
      <c r="C12" s="110"/>
      <c r="D12" s="110"/>
      <c r="E12" s="110">
        <f>1/(1+C11)^0</f>
        <v>1</v>
      </c>
      <c r="F12" s="264">
        <f>1/(1+$C$11)^E3</f>
        <v>0.91037043970957776</v>
      </c>
      <c r="G12" s="264">
        <f t="shared" ref="G12:AC12" si="1">1/(1+$C$11)^F3</f>
        <v>0.82877433749700991</v>
      </c>
      <c r="H12" s="264">
        <f t="shared" si="1"/>
        <v>0.754491658047167</v>
      </c>
      <c r="I12" s="264">
        <f t="shared" si="1"/>
        <v>0.68686690249360771</v>
      </c>
      <c r="J12" s="264">
        <f t="shared" si="1"/>
        <v>0.62530332404506139</v>
      </c>
      <c r="K12" s="264">
        <f t="shared" si="1"/>
        <v>0.56925766206276307</v>
      </c>
      <c r="L12" s="264">
        <f t="shared" si="1"/>
        <v>0.51823534812012384</v>
      </c>
      <c r="M12" s="264">
        <f t="shared" si="1"/>
        <v>0.47178614174116323</v>
      </c>
      <c r="N12" s="264">
        <f t="shared" si="1"/>
        <v>0.429500157305788</v>
      </c>
      <c r="O12" s="264">
        <f t="shared" si="1"/>
        <v>0.39100424706180303</v>
      </c>
      <c r="P12" s="264">
        <f t="shared" si="1"/>
        <v>0.35595870832596599</v>
      </c>
      <c r="Q12" s="264">
        <f t="shared" si="1"/>
        <v>0.324054285817163</v>
      </c>
      <c r="R12" s="264">
        <f t="shared" si="1"/>
        <v>0.29500944266914386</v>
      </c>
      <c r="S12" s="264">
        <f t="shared" si="1"/>
        <v>0.26856787604118593</v>
      </c>
      <c r="T12" s="264">
        <f t="shared" si="1"/>
        <v>0.24449625540348183</v>
      </c>
      <c r="U12" s="264">
        <f t="shared" si="1"/>
        <v>0.222582163539013</v>
      </c>
      <c r="V12" s="264">
        <f t="shared" si="1"/>
        <v>0.20263222209252044</v>
      </c>
      <c r="W12" s="264">
        <f t="shared" si="1"/>
        <v>0.18447038512569661</v>
      </c>
      <c r="X12" s="264">
        <f t="shared" si="1"/>
        <v>0.16793638562027557</v>
      </c>
      <c r="Y12" s="264">
        <f t="shared" si="1"/>
        <v>0.15288432122036749</v>
      </c>
      <c r="Z12" s="264">
        <f t="shared" si="1"/>
        <v>0.13918136673408629</v>
      </c>
      <c r="AA12" s="264">
        <f t="shared" si="1"/>
        <v>0.12670660203309012</v>
      </c>
      <c r="AB12" s="264">
        <f t="shared" si="1"/>
        <v>0.11534994500697074</v>
      </c>
      <c r="AC12" s="265">
        <f t="shared" si="1"/>
        <v>0.10501118015647155</v>
      </c>
    </row>
    <row r="13" spans="2:29" ht="15.75" thickBot="1" x14ac:dyDescent="0.3"/>
    <row r="14" spans="2:29" x14ac:dyDescent="0.25">
      <c r="B14" s="198" t="s">
        <v>85</v>
      </c>
      <c r="C14" s="143" t="s">
        <v>0</v>
      </c>
      <c r="D14" s="143"/>
      <c r="E14" s="266">
        <f>E$12*E4</f>
        <v>9040</v>
      </c>
      <c r="F14" s="266">
        <f t="shared" ref="F14:AC14" si="2">F$12*F4</f>
        <v>8748.6599256090431</v>
      </c>
      <c r="G14" s="266">
        <f t="shared" si="2"/>
        <v>8465.9298575319553</v>
      </c>
      <c r="H14" s="266">
        <f t="shared" si="2"/>
        <v>8192.2631185711743</v>
      </c>
      <c r="I14" s="266">
        <f t="shared" si="2"/>
        <v>7927.4428365588601</v>
      </c>
      <c r="J14" s="266">
        <f t="shared" si="2"/>
        <v>7671.183043968098</v>
      </c>
      <c r="K14" s="266">
        <f t="shared" si="2"/>
        <v>7423.2070173599559</v>
      </c>
      <c r="L14" s="266">
        <f t="shared" si="2"/>
        <v>7183.2469785622889</v>
      </c>
      <c r="M14" s="266">
        <f t="shared" si="2"/>
        <v>6951.0438055081095</v>
      </c>
      <c r="N14" s="266">
        <f t="shared" si="2"/>
        <v>6726.3467524213129</v>
      </c>
      <c r="O14" s="266">
        <f t="shared" si="2"/>
        <v>6508.913179047574</v>
      </c>
      <c r="P14" s="266">
        <f t="shared" si="2"/>
        <v>6298.5082886380396</v>
      </c>
      <c r="Q14" s="266">
        <f t="shared" si="2"/>
        <v>6094.9048744028623</v>
      </c>
      <c r="R14" s="266">
        <f t="shared" si="2"/>
        <v>5897.8830741607944</v>
      </c>
      <c r="S14" s="266">
        <f t="shared" si="2"/>
        <v>5707.2301329198981</v>
      </c>
      <c r="T14" s="266">
        <f t="shared" si="2"/>
        <v>5522.7401731329846</v>
      </c>
      <c r="U14" s="266">
        <f t="shared" si="2"/>
        <v>5344.2139723796954</v>
      </c>
      <c r="V14" s="266">
        <f t="shared" si="2"/>
        <v>5171.4587482351653</v>
      </c>
      <c r="W14" s="266">
        <f t="shared" si="2"/>
        <v>5004.2879500929366</v>
      </c>
      <c r="X14" s="266">
        <f t="shared" si="2"/>
        <v>4842.5210577173457</v>
      </c>
      <c r="Y14" s="266">
        <f t="shared" si="2"/>
        <v>4685.9833863078202</v>
      </c>
      <c r="Z14" s="266">
        <f t="shared" si="2"/>
        <v>4534.5058978646166</v>
      </c>
      <c r="AA14" s="266">
        <f t="shared" si="2"/>
        <v>4387.925018652274</v>
      </c>
      <c r="AB14" s="266">
        <f t="shared" si="2"/>
        <v>4246.0824625636897</v>
      </c>
      <c r="AC14" s="15">
        <f t="shared" si="2"/>
        <v>4108.8250601940535</v>
      </c>
    </row>
    <row r="15" spans="2:29" x14ac:dyDescent="0.25">
      <c r="B15" s="66" t="s">
        <v>86</v>
      </c>
      <c r="C15" s="10" t="s">
        <v>0</v>
      </c>
      <c r="D15" s="10"/>
      <c r="E15" s="108">
        <f t="shared" ref="E15:AC18" si="3">E$12*E5</f>
        <v>18714.610999989374</v>
      </c>
      <c r="F15" s="108">
        <f t="shared" si="3"/>
        <v>17037.228645054027</v>
      </c>
      <c r="G15" s="108">
        <f t="shared" si="3"/>
        <v>15510.189333030448</v>
      </c>
      <c r="H15" s="108">
        <f t="shared" si="3"/>
        <v>14120.017883089733</v>
      </c>
      <c r="I15" s="108">
        <f t="shared" si="3"/>
        <v>12854.446888935499</v>
      </c>
      <c r="J15" s="108">
        <f t="shared" si="3"/>
        <v>11702.308466503626</v>
      </c>
      <c r="K15" s="108">
        <f t="shared" si="3"/>
        <v>10653.43570426802</v>
      </c>
      <c r="L15" s="108">
        <f t="shared" si="3"/>
        <v>9698.5729465121931</v>
      </c>
      <c r="M15" s="108">
        <f t="shared" si="3"/>
        <v>8829.2941178717192</v>
      </c>
      <c r="N15" s="108">
        <f t="shared" si="3"/>
        <v>8037.9283684120664</v>
      </c>
      <c r="O15" s="108">
        <f t="shared" si="3"/>
        <v>7317.492383105382</v>
      </c>
      <c r="P15" s="108">
        <f t="shared" si="3"/>
        <v>6661.6287583791327</v>
      </c>
      <c r="Q15" s="108">
        <f t="shared" si="3"/>
        <v>6064.5499019475792</v>
      </c>
      <c r="R15" s="108">
        <f t="shared" si="3"/>
        <v>5520.986960876694</v>
      </c>
      <c r="S15" s="108">
        <f t="shared" si="3"/>
        <v>5026.1433272041604</v>
      </c>
      <c r="T15" s="108">
        <f t="shared" si="3"/>
        <v>4575.6523108302126</v>
      </c>
      <c r="U15" s="108">
        <f t="shared" si="3"/>
        <v>4165.5386061686468</v>
      </c>
      <c r="V15" s="108">
        <f t="shared" si="3"/>
        <v>3792.183212524973</v>
      </c>
      <c r="W15" s="108">
        <f t="shared" si="3"/>
        <v>3452.2914986456381</v>
      </c>
      <c r="X15" s="108">
        <f t="shared" si="3"/>
        <v>3142.8641296276664</v>
      </c>
      <c r="Y15" s="108">
        <f t="shared" si="3"/>
        <v>2861.1705996365986</v>
      </c>
      <c r="Z15" s="108">
        <f t="shared" si="3"/>
        <v>2604.7251368752864</v>
      </c>
      <c r="AA15" s="108">
        <f t="shared" si="3"/>
        <v>2371.2647681797444</v>
      </c>
      <c r="AB15" s="108">
        <f t="shared" si="3"/>
        <v>2158.7293496756238</v>
      </c>
      <c r="AC15" s="19">
        <f t="shared" si="3"/>
        <v>1965.2433872781685</v>
      </c>
    </row>
    <row r="16" spans="2:29" x14ac:dyDescent="0.25">
      <c r="B16" s="66" t="s">
        <v>87</v>
      </c>
      <c r="C16" s="10" t="s">
        <v>0</v>
      </c>
      <c r="D16" s="10"/>
      <c r="E16" s="108">
        <f t="shared" si="3"/>
        <v>16714.934288938126</v>
      </c>
      <c r="F16" s="108">
        <f t="shared" si="3"/>
        <v>15216.782078337301</v>
      </c>
      <c r="G16" s="108">
        <f t="shared" si="3"/>
        <v>13852.90859162075</v>
      </c>
      <c r="H16" s="108">
        <f t="shared" si="3"/>
        <v>12611.278485810371</v>
      </c>
      <c r="I16" s="108">
        <f t="shared" si="3"/>
        <v>11480.935140427124</v>
      </c>
      <c r="J16" s="108">
        <f t="shared" si="3"/>
        <v>10451.903972067785</v>
      </c>
      <c r="K16" s="108">
        <f t="shared" si="3"/>
        <v>9515.1044148536312</v>
      </c>
      <c r="L16" s="108">
        <f t="shared" si="3"/>
        <v>8662.269790032844</v>
      </c>
      <c r="M16" s="108">
        <f t="shared" si="3"/>
        <v>7885.8743576351926</v>
      </c>
      <c r="N16" s="108">
        <f t="shared" si="3"/>
        <v>7179.0669064548347</v>
      </c>
      <c r="O16" s="108">
        <f t="shared" si="3"/>
        <v>6535.6102963337662</v>
      </c>
      <c r="P16" s="108">
        <f t="shared" si="3"/>
        <v>5949.8264192438137</v>
      </c>
      <c r="Q16" s="108">
        <f t="shared" si="3"/>
        <v>2103.0150552347427</v>
      </c>
      <c r="R16" s="108">
        <f t="shared" si="3"/>
        <v>1914.5227405499145</v>
      </c>
      <c r="S16" s="108">
        <f t="shared" si="3"/>
        <v>1742.9249091484114</v>
      </c>
      <c r="T16" s="108">
        <f t="shared" si="3"/>
        <v>1586.7073159222152</v>
      </c>
      <c r="U16" s="108">
        <f t="shared" si="3"/>
        <v>1444.4914368865111</v>
      </c>
      <c r="V16" s="108">
        <f t="shared" si="3"/>
        <v>1315.0223045550931</v>
      </c>
      <c r="W16" s="108">
        <f t="shared" si="3"/>
        <v>1197.1574336257222</v>
      </c>
      <c r="X16" s="108">
        <f t="shared" si="3"/>
        <v>1089.8567392514383</v>
      </c>
      <c r="Y16" s="108">
        <f t="shared" si="3"/>
        <v>992.17335893277857</v>
      </c>
      <c r="Z16" s="108">
        <f t="shared" si="3"/>
        <v>903.24529703976236</v>
      </c>
      <c r="AA16" s="108">
        <f t="shared" si="3"/>
        <v>822.28781823169652</v>
      </c>
      <c r="AB16" s="108">
        <f t="shared" si="3"/>
        <v>748.58652265141905</v>
      </c>
      <c r="AC16" s="19">
        <f t="shared" si="3"/>
        <v>681.49104178683604</v>
      </c>
    </row>
    <row r="17" spans="2:29" x14ac:dyDescent="0.25">
      <c r="B17" s="66" t="s">
        <v>88</v>
      </c>
      <c r="C17" s="10" t="s">
        <v>0</v>
      </c>
      <c r="D17" s="10"/>
      <c r="E17" s="108">
        <f t="shared" si="3"/>
        <v>26591.940914219744</v>
      </c>
      <c r="F17" s="108">
        <f t="shared" si="3"/>
        <v>19477.481060271744</v>
      </c>
      <c r="G17" s="108">
        <f t="shared" si="3"/>
        <v>13941.567206607124</v>
      </c>
      <c r="H17" s="108">
        <f t="shared" si="3"/>
        <v>9655.598369647967</v>
      </c>
      <c r="I17" s="108">
        <f t="shared" si="3"/>
        <v>6357.6385565719875</v>
      </c>
      <c r="J17" s="108">
        <f t="shared" si="3"/>
        <v>3839.0409866215509</v>
      </c>
      <c r="K17" s="108">
        <f t="shared" si="3"/>
        <v>1933.7429695448666</v>
      </c>
      <c r="L17" s="108">
        <f t="shared" si="3"/>
        <v>509.69937016953986</v>
      </c>
      <c r="M17" s="108">
        <f t="shared" si="3"/>
        <v>0</v>
      </c>
      <c r="N17" s="108">
        <f t="shared" si="3"/>
        <v>0</v>
      </c>
      <c r="O17" s="108">
        <f t="shared" si="3"/>
        <v>0</v>
      </c>
      <c r="P17" s="108">
        <f t="shared" si="3"/>
        <v>0</v>
      </c>
      <c r="Q17" s="108">
        <f t="shared" si="3"/>
        <v>0</v>
      </c>
      <c r="R17" s="108">
        <f t="shared" si="3"/>
        <v>0</v>
      </c>
      <c r="S17" s="108">
        <f t="shared" si="3"/>
        <v>0</v>
      </c>
      <c r="T17" s="108">
        <f t="shared" si="3"/>
        <v>0</v>
      </c>
      <c r="U17" s="108">
        <f t="shared" si="3"/>
        <v>0</v>
      </c>
      <c r="V17" s="108">
        <f t="shared" si="3"/>
        <v>0</v>
      </c>
      <c r="W17" s="108">
        <f t="shared" si="3"/>
        <v>0</v>
      </c>
      <c r="X17" s="108">
        <f t="shared" si="3"/>
        <v>0</v>
      </c>
      <c r="Y17" s="108">
        <f t="shared" si="3"/>
        <v>0</v>
      </c>
      <c r="Z17" s="108">
        <f t="shared" si="3"/>
        <v>0</v>
      </c>
      <c r="AA17" s="108">
        <f t="shared" si="3"/>
        <v>0</v>
      </c>
      <c r="AB17" s="108">
        <f t="shared" si="3"/>
        <v>0</v>
      </c>
      <c r="AC17" s="19">
        <f t="shared" si="3"/>
        <v>0</v>
      </c>
    </row>
    <row r="18" spans="2:29" ht="15.75" thickBot="1" x14ac:dyDescent="0.3">
      <c r="B18" s="141" t="s">
        <v>89</v>
      </c>
      <c r="C18" s="110" t="s">
        <v>0</v>
      </c>
      <c r="D18" s="258"/>
      <c r="E18" s="258">
        <f t="shared" ca="1" si="3"/>
        <v>4299.9865206697586</v>
      </c>
      <c r="F18" s="258">
        <f t="shared" ca="1" si="3"/>
        <v>3841.992591756496</v>
      </c>
      <c r="G18" s="258">
        <f t="shared" ca="1" si="3"/>
        <v>3444.5279748105945</v>
      </c>
      <c r="H18" s="258">
        <f t="shared" ca="1" si="3"/>
        <v>3098.1607183423484</v>
      </c>
      <c r="I18" s="258">
        <f t="shared" ca="1" si="3"/>
        <v>2795.0783736537333</v>
      </c>
      <c r="J18" s="258">
        <f t="shared" ca="1" si="3"/>
        <v>2528.8133606490355</v>
      </c>
      <c r="K18" s="258">
        <f t="shared" ca="1" si="3"/>
        <v>2293.9974352109725</v>
      </c>
      <c r="L18" s="258">
        <f t="shared" ca="1" si="3"/>
        <v>2086.1596507645127</v>
      </c>
      <c r="M18" s="258">
        <f t="shared" ca="1" si="3"/>
        <v>1913.289917633693</v>
      </c>
      <c r="N18" s="258">
        <f t="shared" ca="1" si="3"/>
        <v>1765.2460551340371</v>
      </c>
      <c r="O18" s="258">
        <f t="shared" ca="1" si="3"/>
        <v>1629.7134733305447</v>
      </c>
      <c r="P18" s="258">
        <f t="shared" ca="1" si="3"/>
        <v>1505.59528884575</v>
      </c>
      <c r="Q18" s="258">
        <f t="shared" ca="1" si="3"/>
        <v>1319.6625801717601</v>
      </c>
      <c r="R18" s="258">
        <f t="shared" ca="1" si="3"/>
        <v>1221.9378137964413</v>
      </c>
      <c r="S18" s="258">
        <f t="shared" ca="1" si="3"/>
        <v>1132.3075887328737</v>
      </c>
      <c r="T18" s="258">
        <f t="shared" ca="1" si="3"/>
        <v>1050.0678747656621</v>
      </c>
      <c r="U18" s="258">
        <f t="shared" ca="1" si="3"/>
        <v>974.57704924414088</v>
      </c>
      <c r="V18" s="258">
        <f t="shared" ca="1" si="3"/>
        <v>905.2503259652359</v>
      </c>
      <c r="W18" s="258">
        <f t="shared" ca="1" si="3"/>
        <v>841.55468266754099</v>
      </c>
      <c r="X18" s="258">
        <f t="shared" ca="1" si="3"/>
        <v>783.00424246975945</v>
      </c>
      <c r="Y18" s="258">
        <f t="shared" ca="1" si="3"/>
        <v>729.15606858937383</v>
      </c>
      <c r="Z18" s="258">
        <f t="shared" ca="1" si="3"/>
        <v>679.60633532138229</v>
      </c>
      <c r="AA18" s="258">
        <f t="shared" ca="1" si="3"/>
        <v>633.98684157432831</v>
      </c>
      <c r="AB18" s="258">
        <f t="shared" ca="1" si="3"/>
        <v>591.96183628093092</v>
      </c>
      <c r="AC18" s="259">
        <f t="shared" ca="1" si="3"/>
        <v>553.22512775003133</v>
      </c>
    </row>
    <row r="19" spans="2:29" ht="15.75" thickBot="1" x14ac:dyDescent="0.3"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2:29" x14ac:dyDescent="0.25">
      <c r="B20" s="198" t="s">
        <v>90</v>
      </c>
      <c r="C20" s="143" t="s">
        <v>91</v>
      </c>
      <c r="D20" s="143"/>
      <c r="E20" s="266">
        <f>'C - Generation'!E8</f>
        <v>4128.1499999999996</v>
      </c>
      <c r="F20" s="266">
        <f>E20</f>
        <v>4128.1499999999996</v>
      </c>
      <c r="G20" s="266">
        <f t="shared" ref="G20:AC20" si="4">F20</f>
        <v>4128.1499999999996</v>
      </c>
      <c r="H20" s="266">
        <f t="shared" si="4"/>
        <v>4128.1499999999996</v>
      </c>
      <c r="I20" s="266">
        <f t="shared" si="4"/>
        <v>4128.1499999999996</v>
      </c>
      <c r="J20" s="266">
        <f t="shared" si="4"/>
        <v>4128.1499999999996</v>
      </c>
      <c r="K20" s="266">
        <f t="shared" si="4"/>
        <v>4128.1499999999996</v>
      </c>
      <c r="L20" s="266">
        <f t="shared" si="4"/>
        <v>4128.1499999999996</v>
      </c>
      <c r="M20" s="266">
        <f t="shared" si="4"/>
        <v>4128.1499999999996</v>
      </c>
      <c r="N20" s="266">
        <f t="shared" si="4"/>
        <v>4128.1499999999996</v>
      </c>
      <c r="O20" s="266">
        <f t="shared" si="4"/>
        <v>4128.1499999999996</v>
      </c>
      <c r="P20" s="266">
        <f t="shared" si="4"/>
        <v>4128.1499999999996</v>
      </c>
      <c r="Q20" s="266">
        <f t="shared" si="4"/>
        <v>4128.1499999999996</v>
      </c>
      <c r="R20" s="266">
        <f t="shared" si="4"/>
        <v>4128.1499999999996</v>
      </c>
      <c r="S20" s="266">
        <f t="shared" si="4"/>
        <v>4128.1499999999996</v>
      </c>
      <c r="T20" s="266">
        <f t="shared" si="4"/>
        <v>4128.1499999999996</v>
      </c>
      <c r="U20" s="266">
        <f t="shared" si="4"/>
        <v>4128.1499999999996</v>
      </c>
      <c r="V20" s="266">
        <f t="shared" si="4"/>
        <v>4128.1499999999996</v>
      </c>
      <c r="W20" s="266">
        <f t="shared" si="4"/>
        <v>4128.1499999999996</v>
      </c>
      <c r="X20" s="266">
        <f t="shared" si="4"/>
        <v>4128.1499999999996</v>
      </c>
      <c r="Y20" s="266">
        <f t="shared" si="4"/>
        <v>4128.1499999999996</v>
      </c>
      <c r="Z20" s="266">
        <f t="shared" si="4"/>
        <v>4128.1499999999996</v>
      </c>
      <c r="AA20" s="266">
        <f t="shared" si="4"/>
        <v>4128.1499999999996</v>
      </c>
      <c r="AB20" s="266">
        <f t="shared" si="4"/>
        <v>4128.1499999999996</v>
      </c>
      <c r="AC20" s="15">
        <f t="shared" si="4"/>
        <v>4128.1499999999996</v>
      </c>
    </row>
    <row r="21" spans="2:29" x14ac:dyDescent="0.25">
      <c r="B21" s="66" t="s">
        <v>100</v>
      </c>
      <c r="C21" s="10" t="s">
        <v>106</v>
      </c>
      <c r="D21" s="63">
        <f>AVERAGE(E21:AC21)</f>
        <v>0.15182133072916493</v>
      </c>
      <c r="E21" s="63">
        <f>E14/(E$20*10)</f>
        <v>0.21898429078400736</v>
      </c>
      <c r="F21" s="63">
        <f t="shared" ref="F21:AC25" si="5">F14/(F$20*10)</f>
        <v>0.21192689038937643</v>
      </c>
      <c r="G21" s="63">
        <f t="shared" si="5"/>
        <v>0.20507805815030838</v>
      </c>
      <c r="H21" s="63">
        <f t="shared" si="5"/>
        <v>0.19844877532481073</v>
      </c>
      <c r="I21" s="63">
        <f t="shared" si="5"/>
        <v>0.19203378841754443</v>
      </c>
      <c r="J21" s="63">
        <f t="shared" si="5"/>
        <v>0.18582617017230715</v>
      </c>
      <c r="K21" s="63">
        <f t="shared" si="5"/>
        <v>0.17981921726099961</v>
      </c>
      <c r="L21" s="63">
        <f t="shared" si="5"/>
        <v>0.17400644304500293</v>
      </c>
      <c r="M21" s="63">
        <f t="shared" si="5"/>
        <v>0.16838157057054878</v>
      </c>
      <c r="N21" s="63">
        <f t="shared" si="5"/>
        <v>0.16293852579051907</v>
      </c>
      <c r="O21" s="63">
        <f t="shared" si="5"/>
        <v>0.15767143100535527</v>
      </c>
      <c r="P21" s="63">
        <f t="shared" si="5"/>
        <v>0.15257459851599481</v>
      </c>
      <c r="Q21" s="63">
        <f t="shared" si="5"/>
        <v>0.14764252448198012</v>
      </c>
      <c r="R21" s="63">
        <f t="shared" si="5"/>
        <v>0.14286988297810871</v>
      </c>
      <c r="S21" s="63">
        <f t="shared" si="5"/>
        <v>0.13825152024320575</v>
      </c>
      <c r="T21" s="63">
        <f t="shared" si="5"/>
        <v>0.13378244911480894</v>
      </c>
      <c r="U21" s="63">
        <f t="shared" si="5"/>
        <v>0.12945784364375557</v>
      </c>
      <c r="V21" s="63">
        <f t="shared" si="5"/>
        <v>0.1252730338828571</v>
      </c>
      <c r="W21" s="63">
        <f t="shared" si="5"/>
        <v>0.12122350084403272</v>
      </c>
      <c r="X21" s="63">
        <f t="shared" si="5"/>
        <v>0.11730487161845732</v>
      </c>
      <c r="Y21" s="63">
        <f t="shared" si="5"/>
        <v>0.11351291465445346</v>
      </c>
      <c r="Z21" s="63">
        <f t="shared" si="5"/>
        <v>0.10984353518802893</v>
      </c>
      <c r="AA21" s="63">
        <f t="shared" si="5"/>
        <v>0.10629277082112505</v>
      </c>
      <c r="AB21" s="63">
        <f t="shared" si="5"/>
        <v>0.10285678724280101</v>
      </c>
      <c r="AC21" s="67">
        <f t="shared" si="5"/>
        <v>9.9531874088733541E-2</v>
      </c>
    </row>
    <row r="22" spans="2:29" x14ac:dyDescent="0.25">
      <c r="B22" s="66" t="s">
        <v>104</v>
      </c>
      <c r="C22" s="10" t="s">
        <v>106</v>
      </c>
      <c r="D22" s="63">
        <f t="shared" ref="D22:D25" si="6">AVERAGE(E22:AC22)</f>
        <v>0.18297639154063894</v>
      </c>
      <c r="E22" s="63">
        <f t="shared" ref="E22:T25" si="7">E15/(E$20*10)</f>
        <v>0.45334135145257254</v>
      </c>
      <c r="F22" s="63">
        <f t="shared" si="7"/>
        <v>0.41270856546041268</v>
      </c>
      <c r="G22" s="63">
        <f t="shared" si="7"/>
        <v>0.37571767821010499</v>
      </c>
      <c r="H22" s="63">
        <f t="shared" si="7"/>
        <v>0.34204226791879494</v>
      </c>
      <c r="I22" s="63">
        <f t="shared" si="7"/>
        <v>0.31138516984449449</v>
      </c>
      <c r="J22" s="63">
        <f t="shared" si="7"/>
        <v>0.28347585399037406</v>
      </c>
      <c r="K22" s="63">
        <f t="shared" si="7"/>
        <v>0.25806803784426485</v>
      </c>
      <c r="L22" s="63">
        <f t="shared" si="7"/>
        <v>0.23493751308727137</v>
      </c>
      <c r="M22" s="63">
        <f t="shared" si="7"/>
        <v>0.21388016709353389</v>
      </c>
      <c r="N22" s="63">
        <f t="shared" si="7"/>
        <v>0.19471018176209842</v>
      </c>
      <c r="O22" s="63">
        <f t="shared" si="7"/>
        <v>0.17725839378669336</v>
      </c>
      <c r="P22" s="63">
        <f t="shared" si="7"/>
        <v>0.16137080189380551</v>
      </c>
      <c r="Q22" s="63">
        <f t="shared" si="7"/>
        <v>0.14690720787635089</v>
      </c>
      <c r="R22" s="63">
        <f t="shared" si="7"/>
        <v>0.13373997943089988</v>
      </c>
      <c r="S22" s="63">
        <f t="shared" si="7"/>
        <v>0.1217529238812582</v>
      </c>
      <c r="T22" s="63">
        <f t="shared" si="7"/>
        <v>0.1108402628497078</v>
      </c>
      <c r="U22" s="63">
        <f t="shared" si="5"/>
        <v>0.10090569882801369</v>
      </c>
      <c r="V22" s="63">
        <f t="shared" si="5"/>
        <v>9.1861565411261045E-2</v>
      </c>
      <c r="W22" s="63">
        <f t="shared" si="5"/>
        <v>8.3628053695859836E-2</v>
      </c>
      <c r="X22" s="63">
        <f t="shared" si="5"/>
        <v>7.61325080151561E-2</v>
      </c>
      <c r="Y22" s="63">
        <f t="shared" si="5"/>
        <v>6.9308784797950621E-2</v>
      </c>
      <c r="Z22" s="63">
        <f t="shared" si="5"/>
        <v>6.3096668892246799E-2</v>
      </c>
      <c r="AA22" s="63">
        <f t="shared" si="5"/>
        <v>5.7441342203644351E-2</v>
      </c>
      <c r="AB22" s="63">
        <f t="shared" si="5"/>
        <v>5.2292899959440031E-2</v>
      </c>
      <c r="AC22" s="67">
        <f t="shared" si="5"/>
        <v>4.7605910329764384E-2</v>
      </c>
    </row>
    <row r="23" spans="2:29" x14ac:dyDescent="0.25">
      <c r="B23" s="66" t="s">
        <v>101</v>
      </c>
      <c r="C23" s="10" t="s">
        <v>106</v>
      </c>
      <c r="D23" s="63">
        <f t="shared" si="6"/>
        <v>0.13817131326678742</v>
      </c>
      <c r="E23" s="63">
        <f t="shared" si="7"/>
        <v>0.4049013308367701</v>
      </c>
      <c r="F23" s="63">
        <f t="shared" si="5"/>
        <v>0.36861020259286364</v>
      </c>
      <c r="G23" s="63">
        <f t="shared" si="5"/>
        <v>0.33557183221590181</v>
      </c>
      <c r="H23" s="63">
        <f t="shared" si="5"/>
        <v>0.30549467644853923</v>
      </c>
      <c r="I23" s="63">
        <f t="shared" si="5"/>
        <v>0.27811332292739177</v>
      </c>
      <c r="J23" s="63">
        <f t="shared" si="5"/>
        <v>0.25318614808250145</v>
      </c>
      <c r="K23" s="63">
        <f t="shared" si="5"/>
        <v>0.23049318495824112</v>
      </c>
      <c r="L23" s="63">
        <f t="shared" si="5"/>
        <v>0.20983418214049498</v>
      </c>
      <c r="M23" s="63">
        <f t="shared" si="5"/>
        <v>0.19102683666134207</v>
      </c>
      <c r="N23" s="63">
        <f t="shared" si="5"/>
        <v>0.17390518528771567</v>
      </c>
      <c r="O23" s="63">
        <f t="shared" si="5"/>
        <v>0.15831813999815331</v>
      </c>
      <c r="P23" s="63">
        <f t="shared" si="5"/>
        <v>0.1441281547241213</v>
      </c>
      <c r="Q23" s="63">
        <f t="shared" si="5"/>
        <v>5.0943281015339625E-2</v>
      </c>
      <c r="R23" s="63">
        <f t="shared" si="5"/>
        <v>4.6377257138183317E-2</v>
      </c>
      <c r="S23" s="63">
        <f t="shared" si="5"/>
        <v>4.2220483973412097E-2</v>
      </c>
      <c r="T23" s="63">
        <f t="shared" si="5"/>
        <v>3.8436280559626348E-2</v>
      </c>
      <c r="U23" s="63">
        <f t="shared" si="5"/>
        <v>3.4991253633867743E-2</v>
      </c>
      <c r="V23" s="63">
        <f t="shared" si="5"/>
        <v>3.1855002956653541E-2</v>
      </c>
      <c r="W23" s="63">
        <f t="shared" si="5"/>
        <v>2.8999853048598579E-2</v>
      </c>
      <c r="X23" s="63">
        <f t="shared" si="5"/>
        <v>2.6400608971365824E-2</v>
      </c>
      <c r="Y23" s="63">
        <f t="shared" si="5"/>
        <v>2.4034333997862929E-2</v>
      </c>
      <c r="Z23" s="63">
        <f t="shared" si="5"/>
        <v>2.1880147209761329E-2</v>
      </c>
      <c r="AA23" s="63">
        <f t="shared" si="5"/>
        <v>1.9919039236260712E-2</v>
      </c>
      <c r="AB23" s="63">
        <f t="shared" si="5"/>
        <v>1.8133704508106998E-2</v>
      </c>
      <c r="AC23" s="67">
        <f t="shared" si="5"/>
        <v>1.6508388546608917E-2</v>
      </c>
    </row>
    <row r="24" spans="2:29" x14ac:dyDescent="0.25">
      <c r="B24" s="66" t="s">
        <v>102</v>
      </c>
      <c r="C24" s="10" t="s">
        <v>106</v>
      </c>
      <c r="D24" s="63">
        <f t="shared" si="6"/>
        <v>7.9751665451744266E-2</v>
      </c>
      <c r="E24" s="63">
        <f t="shared" si="7"/>
        <v>0.64416120814940692</v>
      </c>
      <c r="F24" s="63">
        <f t="shared" si="5"/>
        <v>0.47182105931886548</v>
      </c>
      <c r="G24" s="63">
        <f t="shared" si="5"/>
        <v>0.33771949194208362</v>
      </c>
      <c r="H24" s="63">
        <f t="shared" si="5"/>
        <v>0.23389650011864799</v>
      </c>
      <c r="I24" s="63">
        <f t="shared" si="5"/>
        <v>0.15400696574911249</v>
      </c>
      <c r="J24" s="63">
        <f t="shared" si="5"/>
        <v>9.299664466217436E-2</v>
      </c>
      <c r="K24" s="63">
        <f t="shared" si="5"/>
        <v>4.6842846542515817E-2</v>
      </c>
      <c r="L24" s="63">
        <f t="shared" si="5"/>
        <v>1.2346919810799991E-2</v>
      </c>
      <c r="M24" s="63">
        <f t="shared" si="5"/>
        <v>0</v>
      </c>
      <c r="N24" s="63">
        <f t="shared" si="5"/>
        <v>0</v>
      </c>
      <c r="O24" s="63">
        <f t="shared" si="5"/>
        <v>0</v>
      </c>
      <c r="P24" s="63">
        <f t="shared" si="5"/>
        <v>0</v>
      </c>
      <c r="Q24" s="63">
        <f t="shared" si="5"/>
        <v>0</v>
      </c>
      <c r="R24" s="63">
        <f t="shared" si="5"/>
        <v>0</v>
      </c>
      <c r="S24" s="63">
        <f t="shared" si="5"/>
        <v>0</v>
      </c>
      <c r="T24" s="63">
        <f t="shared" si="5"/>
        <v>0</v>
      </c>
      <c r="U24" s="63">
        <f t="shared" si="5"/>
        <v>0</v>
      </c>
      <c r="V24" s="63">
        <f t="shared" si="5"/>
        <v>0</v>
      </c>
      <c r="W24" s="63">
        <f t="shared" si="5"/>
        <v>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7">
        <f t="shared" si="5"/>
        <v>0</v>
      </c>
    </row>
    <row r="25" spans="2:29" ht="15.75" thickBot="1" x14ac:dyDescent="0.3">
      <c r="B25" s="196" t="s">
        <v>103</v>
      </c>
      <c r="C25" s="153" t="s">
        <v>106</v>
      </c>
      <c r="D25" s="241">
        <f t="shared" ca="1" si="6"/>
        <v>4.1295844122070109E-2</v>
      </c>
      <c r="E25" s="119">
        <f t="shared" ca="1" si="7"/>
        <v>0.10416255515593567</v>
      </c>
      <c r="F25" s="119">
        <f t="shared" ca="1" si="5"/>
        <v>9.3068144126460903E-2</v>
      </c>
      <c r="G25" s="119">
        <f t="shared" ca="1" si="5"/>
        <v>8.3439990669200353E-2</v>
      </c>
      <c r="H25" s="119">
        <f ca="1">H18/(H$20*10)</f>
        <v>7.5049615889498891E-2</v>
      </c>
      <c r="I25" s="119">
        <f t="shared" ca="1" si="5"/>
        <v>6.7707771608437994E-2</v>
      </c>
      <c r="J25" s="119">
        <f t="shared" ca="1" si="5"/>
        <v>6.1257787644563196E-2</v>
      </c>
      <c r="K25" s="119">
        <f t="shared" ca="1" si="5"/>
        <v>5.5569624049779505E-2</v>
      </c>
      <c r="L25" s="119">
        <f t="shared" ca="1" si="5"/>
        <v>5.0534976945230008E-2</v>
      </c>
      <c r="M25" s="119">
        <f t="shared" ca="1" si="5"/>
        <v>4.6347393327124571E-2</v>
      </c>
      <c r="N25" s="119">
        <f t="shared" ca="1" si="5"/>
        <v>4.2761189761371006E-2</v>
      </c>
      <c r="O25" s="119">
        <f t="shared" ca="1" si="5"/>
        <v>3.9478058533012242E-2</v>
      </c>
      <c r="P25" s="119">
        <f t="shared" ca="1" si="5"/>
        <v>3.6471428820312971E-2</v>
      </c>
      <c r="Q25" s="119">
        <f t="shared" ca="1" si="5"/>
        <v>3.1967408649679882E-2</v>
      </c>
      <c r="R25" s="119">
        <f t="shared" ca="1" si="5"/>
        <v>2.9600131143404221E-2</v>
      </c>
      <c r="S25" s="119">
        <f t="shared" ca="1" si="5"/>
        <v>2.7428935206639141E-2</v>
      </c>
      <c r="T25" s="119">
        <f t="shared" ca="1" si="5"/>
        <v>2.5436766463565085E-2</v>
      </c>
      <c r="U25" s="119">
        <f t="shared" ca="1" si="5"/>
        <v>2.3608082294590577E-2</v>
      </c>
      <c r="V25" s="119">
        <f t="shared" ca="1" si="5"/>
        <v>2.1928716882023084E-2</v>
      </c>
      <c r="W25" s="119">
        <f t="shared" ca="1" si="5"/>
        <v>2.0385758334061043E-2</v>
      </c>
      <c r="X25" s="119">
        <f t="shared" ca="1" si="5"/>
        <v>1.8967436805100577E-2</v>
      </c>
      <c r="Y25" s="119">
        <f t="shared" ca="1" si="5"/>
        <v>1.7663022627311842E-2</v>
      </c>
      <c r="Z25" s="119">
        <f t="shared" ca="1" si="5"/>
        <v>1.6462733556711417E-2</v>
      </c>
      <c r="AA25" s="119">
        <f t="shared" ca="1" si="5"/>
        <v>1.5357650317317159E-2</v>
      </c>
      <c r="AB25" s="119">
        <f t="shared" ca="1" si="5"/>
        <v>1.4339639700130347E-2</v>
      </c>
      <c r="AC25" s="120">
        <f t="shared" ca="1" si="5"/>
        <v>1.3401284540291204E-2</v>
      </c>
    </row>
    <row r="26" spans="2:29" s="2" customFormat="1" x14ac:dyDescent="0.25">
      <c r="B26" s="267" t="s">
        <v>105</v>
      </c>
      <c r="C26" s="268" t="s">
        <v>106</v>
      </c>
      <c r="D26" s="269">
        <f ca="1">SUM(D21:D25)</f>
        <v>0.59401654511040569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</row>
    <row r="27" spans="2:29" ht="15.75" thickBot="1" x14ac:dyDescent="0.3">
      <c r="B27" s="270" t="s">
        <v>108</v>
      </c>
      <c r="C27" s="271" t="s">
        <v>106</v>
      </c>
      <c r="D27" s="272">
        <f>'[1]Energy Charges'!E28</f>
        <v>1.8470090668029508</v>
      </c>
      <c r="E27" s="107"/>
    </row>
    <row r="28" spans="2:29" ht="16.5" thickBot="1" x14ac:dyDescent="0.3">
      <c r="B28" s="273" t="s">
        <v>383</v>
      </c>
      <c r="C28" s="274" t="s">
        <v>106</v>
      </c>
      <c r="D28" s="275">
        <f ca="1">ROUNDDOWN(SUM(D26:D27),2)</f>
        <v>2.44</v>
      </c>
    </row>
    <row r="29" spans="2:29" x14ac:dyDescent="0.25">
      <c r="C29" s="530" t="s">
        <v>377</v>
      </c>
      <c r="D29" s="531">
        <f ca="1">(D28-'[1]PRE-GST Levellized Tariff'!D28)/'[1]PRE-GST Levellized Tariff'!D28</f>
        <v>-1.612903225806453E-2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S - Solar Park Model</vt:lpstr>
      <vt:lpstr>S - SPM Pre-GST</vt:lpstr>
      <vt:lpstr>S - SPM Post-GST</vt:lpstr>
      <vt:lpstr>S - Generation</vt:lpstr>
      <vt:lpstr>S - Working Capital</vt:lpstr>
      <vt:lpstr>C - Assumptions</vt:lpstr>
      <vt:lpstr>C_D - Pre-GST LCOE</vt:lpstr>
      <vt:lpstr>C_D - Post-GST LCOE</vt:lpstr>
      <vt:lpstr>C_DI - Pre-GST LCOE</vt:lpstr>
      <vt:lpstr>C_DI - Post-GST LCOE</vt:lpstr>
      <vt:lpstr>C_D - VC</vt:lpstr>
      <vt:lpstr>C_D - Energy Charges</vt:lpstr>
      <vt:lpstr>C_DI - VC</vt:lpstr>
      <vt:lpstr>C_DI - Energy Charges</vt:lpstr>
      <vt:lpstr>C - Capital Cost</vt:lpstr>
      <vt:lpstr>C - O&amp;M</vt:lpstr>
      <vt:lpstr>C - RoE</vt:lpstr>
      <vt:lpstr>C - Depreciation</vt:lpstr>
      <vt:lpstr>C - Interest on Loan</vt:lpstr>
      <vt:lpstr>C - Interest on WC</vt:lpstr>
      <vt:lpstr>C - Generation</vt:lpstr>
      <vt:lpstr>C - Hard Cost</vt:lpstr>
      <vt:lpstr>Exchange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2019-02-20T17:41:39Z</dcterms:modified>
</cp:coreProperties>
</file>